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swapna\AppData\Local\Microsoft\Windows\INetCache\Content.Outlook\JQ23XPK4\"/>
    </mc:Choice>
  </mc:AlternateContent>
  <xr:revisionPtr revIDLastSave="0" documentId="13_ncr:1_{457CA36A-528C-4BA2-A781-DB46620BA4BB}" xr6:coauthVersionLast="47" xr6:coauthVersionMax="47" xr10:uidLastSave="{00000000-0000-0000-0000-000000000000}"/>
  <bookViews>
    <workbookView xWindow="-120" yWindow="-120" windowWidth="29040" windowHeight="15840" tabRatio="940" xr2:uid="{A788AA6E-ED99-4AF4-B5B3-E1E11E196B29}"/>
  </bookViews>
  <sheets>
    <sheet name="Index" sheetId="30" r:id="rId1"/>
    <sheet name="CAPEXG" sheetId="1" r:id="rId2"/>
    <sheet name="GLOB" sheetId="31" r:id="rId3"/>
    <sheet name="MIDCAP" sheetId="2" r:id="rId4"/>
    <sheet name="MULTIP" sheetId="3" r:id="rId5"/>
    <sheet name="SLTADV3" sheetId="4" r:id="rId6"/>
    <sheet name="SLTADV4" sheetId="5" r:id="rId7"/>
    <sheet name="SLTAX1" sheetId="6" r:id="rId8"/>
    <sheet name="SLTAX2" sheetId="7" r:id="rId9"/>
    <sheet name="SLTAX3" sheetId="8" r:id="rId10"/>
    <sheet name="SLTAX4" sheetId="9" r:id="rId11"/>
    <sheet name="SLTAX5" sheetId="10" r:id="rId12"/>
    <sheet name="SLTAX6" sheetId="11" r:id="rId13"/>
    <sheet name="SMILE" sheetId="12" r:id="rId14"/>
    <sheet name="SPAHF" sheetId="13" r:id="rId15"/>
    <sheet name="SPARF" sheetId="14" r:id="rId16"/>
    <sheet name="SPBAF" sheetId="15" r:id="rId17"/>
    <sheet name="SPDYF" sheetId="16" r:id="rId18"/>
    <sheet name="SPESF" sheetId="17" r:id="rId19"/>
    <sheet name="SPFOCUS" sheetId="18" r:id="rId20"/>
    <sheet name="SPMUCF" sheetId="19" r:id="rId21"/>
    <sheet name="SPSN100" sheetId="20" r:id="rId22"/>
    <sheet name="SPTAX" sheetId="21" r:id="rId23"/>
    <sheet name="SRURAL" sheetId="22" r:id="rId24"/>
    <sheet name="SSFUND" sheetId="23" r:id="rId25"/>
    <sheet name="STAX" sheetId="24" r:id="rId26"/>
    <sheet name="SUNBCF" sheetId="25" r:id="rId27"/>
    <sheet name="SUNCYF" sheetId="26" r:id="rId28"/>
    <sheet name="SUNFCF" sheetId="27" r:id="rId29"/>
    <sheet name="SUNFOP" sheetId="28" r:id="rId30"/>
    <sheet name="SUNMAF" sheetId="29" r:id="rId31"/>
    <sheet name="Annexure-A" sheetId="33" r:id="rId32"/>
  </sheets>
  <definedNames>
    <definedName name="_xlnm._FilterDatabase" localSheetId="31" hidden="1">'Annexure-A'!$A$8:$L$124</definedName>
    <definedName name="_xlnm._FilterDatabase" localSheetId="0" hidden="1">Index!$A$1:$C$28</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7" l="1"/>
  <c r="F57" i="7"/>
  <c r="G39" i="7"/>
  <c r="F39" i="7"/>
  <c r="G94" i="28"/>
  <c r="F94" i="28"/>
  <c r="F93" i="28"/>
  <c r="G47" i="28"/>
  <c r="F47" i="28"/>
  <c r="G114" i="26"/>
  <c r="F114" i="26"/>
  <c r="F113" i="26"/>
  <c r="G68" i="26"/>
  <c r="F68" i="26"/>
  <c r="F125" i="23"/>
  <c r="G78" i="23"/>
  <c r="F78" i="23"/>
  <c r="G100" i="12"/>
  <c r="F146" i="12"/>
  <c r="F100" i="12"/>
  <c r="F205" i="33"/>
  <c r="F188" i="33"/>
  <c r="E188" i="33"/>
  <c r="G188" i="33" s="1"/>
  <c r="D188" i="33"/>
  <c r="C188" i="33"/>
  <c r="G187" i="33"/>
  <c r="F186" i="33"/>
  <c r="G186" i="33" s="1"/>
  <c r="E186" i="33"/>
  <c r="D186" i="33"/>
  <c r="C186" i="33"/>
  <c r="F185" i="33"/>
  <c r="G185" i="33" s="1"/>
  <c r="E185" i="33"/>
  <c r="D185" i="33"/>
  <c r="C185" i="33"/>
  <c r="F184" i="33"/>
  <c r="G184" i="33" s="1"/>
  <c r="E184" i="33"/>
  <c r="D184" i="33"/>
  <c r="C184" i="33"/>
  <c r="F183" i="33"/>
  <c r="G183" i="33" s="1"/>
  <c r="E183" i="33"/>
  <c r="D183" i="33"/>
  <c r="C183" i="33"/>
  <c r="F182" i="33"/>
  <c r="G182" i="33" s="1"/>
  <c r="E182" i="33"/>
  <c r="D182" i="33"/>
  <c r="C182" i="33"/>
  <c r="G181" i="33"/>
  <c r="F180" i="33"/>
  <c r="G180" i="33" s="1"/>
  <c r="E180" i="33"/>
  <c r="D180" i="33"/>
  <c r="C180" i="33"/>
  <c r="F179" i="33"/>
  <c r="G179" i="33" s="1"/>
  <c r="E179" i="33"/>
  <c r="D179" i="33"/>
  <c r="C179" i="33"/>
  <c r="F178" i="33"/>
  <c r="G178" i="33" s="1"/>
  <c r="E178" i="33"/>
  <c r="D178" i="33"/>
  <c r="C178" i="33"/>
  <c r="F177" i="33"/>
  <c r="G177" i="33" s="1"/>
  <c r="E177" i="33"/>
  <c r="D177" i="33"/>
  <c r="C177" i="33"/>
  <c r="I176" i="33"/>
  <c r="B164" i="33"/>
  <c r="B161" i="33"/>
  <c r="B159" i="33"/>
  <c r="F149" i="33"/>
  <c r="G149" i="33" s="1"/>
  <c r="E149" i="33"/>
  <c r="D149" i="33"/>
  <c r="C149" i="33"/>
  <c r="G148" i="33"/>
  <c r="F147" i="33"/>
  <c r="G147" i="33" s="1"/>
  <c r="E147" i="33"/>
  <c r="D147" i="33"/>
  <c r="C147" i="33"/>
  <c r="F146" i="33"/>
  <c r="G146" i="33" s="1"/>
  <c r="E146" i="33"/>
  <c r="D146" i="33"/>
  <c r="C146" i="33"/>
  <c r="F145" i="33"/>
  <c r="E145" i="33"/>
  <c r="G145" i="33" s="1"/>
  <c r="D145" i="33"/>
  <c r="C145" i="33"/>
  <c r="F144" i="33"/>
  <c r="G144" i="33" s="1"/>
  <c r="E144" i="33"/>
  <c r="D144" i="33"/>
  <c r="C144" i="33"/>
  <c r="G143" i="33"/>
  <c r="F143" i="33"/>
  <c r="E143" i="33"/>
  <c r="D143" i="33"/>
  <c r="C143" i="33"/>
  <c r="F142" i="33"/>
  <c r="G142" i="33" s="1"/>
  <c r="E142" i="33"/>
  <c r="D142" i="33"/>
  <c r="C142" i="33"/>
  <c r="G141" i="33"/>
  <c r="D141" i="33"/>
  <c r="C141" i="33"/>
  <c r="F140" i="33"/>
  <c r="G140" i="33" s="1"/>
  <c r="E140" i="33"/>
  <c r="D140" i="33"/>
  <c r="C140" i="33"/>
  <c r="G139" i="33"/>
  <c r="G138" i="33"/>
  <c r="F137" i="33"/>
  <c r="G137" i="33" s="1"/>
  <c r="E137" i="33"/>
  <c r="D137" i="33"/>
  <c r="C137" i="33"/>
  <c r="G49" i="7" l="1"/>
  <c r="F49" i="7"/>
  <c r="G84" i="21"/>
  <c r="F84" i="21"/>
  <c r="G29" i="28"/>
  <c r="F29" i="28"/>
  <c r="G50" i="26"/>
  <c r="F50" i="26"/>
  <c r="F126" i="23"/>
  <c r="G62" i="23"/>
  <c r="F62" i="23"/>
  <c r="G58" i="23"/>
  <c r="F58" i="23"/>
  <c r="G80" i="12"/>
  <c r="G102" i="7"/>
  <c r="F102" i="7"/>
  <c r="D92" i="31"/>
  <c r="F147" i="12" l="1"/>
  <c r="G146" i="12" s="1"/>
  <c r="G73" i="19" l="1"/>
  <c r="F73" i="19"/>
  <c r="G107" i="20"/>
  <c r="F107" i="20"/>
  <c r="G72" i="21"/>
  <c r="F72" i="21"/>
  <c r="G125" i="23"/>
  <c r="G126" i="23" s="1"/>
  <c r="G113" i="26"/>
  <c r="G93" i="28"/>
  <c r="G161" i="29"/>
  <c r="F161" i="29"/>
  <c r="G160" i="29"/>
  <c r="F160" i="29"/>
  <c r="G104" i="29"/>
  <c r="F104" i="29"/>
  <c r="G101" i="29"/>
  <c r="G100" i="29"/>
  <c r="G99" i="29"/>
  <c r="G98" i="29"/>
  <c r="G97" i="29"/>
  <c r="G96" i="29"/>
  <c r="G95" i="29"/>
  <c r="G94" i="29"/>
  <c r="G93" i="29"/>
  <c r="G92" i="29"/>
  <c r="G91" i="29"/>
  <c r="G90" i="29"/>
  <c r="G89" i="29"/>
  <c r="G88" i="29"/>
  <c r="G87" i="29"/>
  <c r="G86" i="29"/>
  <c r="D148" i="23"/>
  <c r="G80" i="21"/>
  <c r="F80" i="21"/>
  <c r="D147" i="21" s="1"/>
  <c r="D153" i="19"/>
  <c r="G87" i="19"/>
  <c r="F87" i="19"/>
  <c r="G183" i="17"/>
  <c r="F183" i="17"/>
  <c r="G125" i="17"/>
  <c r="F125"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D142" i="16"/>
  <c r="G66" i="16"/>
  <c r="F66" i="16"/>
  <c r="G111" i="15"/>
  <c r="F111" i="15"/>
  <c r="F174" i="15" s="1"/>
  <c r="F88" i="15"/>
  <c r="F89" i="15"/>
  <c r="F73" i="15"/>
  <c r="F173" i="15"/>
  <c r="F49" i="15"/>
  <c r="F16" i="15"/>
  <c r="G151" i="14"/>
  <c r="F151" i="14"/>
  <c r="G150" i="14" s="1"/>
  <c r="F150" i="14"/>
  <c r="G98" i="14"/>
  <c r="F98" i="14"/>
  <c r="G95" i="14"/>
  <c r="G94" i="14"/>
  <c r="G93" i="14"/>
  <c r="G92" i="14"/>
  <c r="G91" i="14"/>
  <c r="G90" i="14"/>
  <c r="G89" i="14"/>
  <c r="G88" i="14"/>
  <c r="G87" i="14"/>
  <c r="G86" i="14"/>
  <c r="G85" i="14"/>
  <c r="G84" i="14"/>
  <c r="G83" i="14"/>
  <c r="G82" i="14"/>
  <c r="G81" i="14"/>
  <c r="G80" i="14"/>
  <c r="G79" i="14"/>
  <c r="G78" i="14"/>
  <c r="G77" i="14"/>
  <c r="G76" i="14"/>
  <c r="G75" i="14"/>
  <c r="G74" i="14"/>
  <c r="G73" i="14"/>
  <c r="G72" i="14"/>
  <c r="G71" i="14"/>
  <c r="G70" i="14"/>
  <c r="G69" i="14"/>
  <c r="G68" i="14"/>
  <c r="G67" i="14"/>
  <c r="G66" i="14"/>
  <c r="G65" i="14"/>
  <c r="G64" i="14"/>
  <c r="G63" i="14"/>
  <c r="G62" i="14"/>
  <c r="G61" i="14"/>
  <c r="G60" i="14"/>
  <c r="G59" i="14"/>
  <c r="G225" i="13"/>
  <c r="D197" i="13"/>
  <c r="F97" i="13"/>
  <c r="F187" i="13" s="1"/>
  <c r="G91" i="13" s="1"/>
  <c r="F91" i="13"/>
  <c r="F92" i="13" s="1"/>
  <c r="G82" i="13"/>
  <c r="G97" i="13" s="1"/>
  <c r="G187" i="13" s="1"/>
  <c r="F82" i="13"/>
  <c r="G75" i="13"/>
  <c r="F75" i="13"/>
  <c r="D157" i="12"/>
  <c r="G88" i="15" l="1"/>
  <c r="G89" i="15" s="1"/>
  <c r="G102" i="15"/>
  <c r="G101" i="15"/>
  <c r="G108" i="15"/>
  <c r="G94" i="15"/>
  <c r="G93" i="15"/>
  <c r="G104" i="15"/>
  <c r="G105" i="15"/>
  <c r="G173" i="15"/>
  <c r="G100" i="15"/>
  <c r="G49" i="15"/>
  <c r="G97" i="15"/>
  <c r="G95" i="15"/>
  <c r="G106" i="15"/>
  <c r="G99" i="15"/>
  <c r="G98" i="15"/>
  <c r="G96" i="15"/>
  <c r="G107" i="15"/>
  <c r="G92" i="15"/>
  <c r="G103" i="15"/>
  <c r="G16" i="15"/>
  <c r="G92" i="13"/>
  <c r="G73" i="15" l="1"/>
  <c r="G174" i="15" s="1"/>
  <c r="G147" i="12"/>
  <c r="F80" i="12"/>
  <c r="H146" i="3"/>
  <c r="H145" i="3"/>
  <c r="H144" i="3"/>
  <c r="H143" i="3"/>
  <c r="H142" i="3"/>
  <c r="H141" i="3"/>
  <c r="H140" i="3"/>
  <c r="H139" i="3"/>
  <c r="H138" i="3"/>
  <c r="H137" i="3"/>
  <c r="H136" i="3"/>
  <c r="H135" i="3"/>
  <c r="H134" i="3"/>
  <c r="H133" i="3"/>
  <c r="H132" i="3"/>
  <c r="H131" i="3"/>
  <c r="H130" i="3"/>
  <c r="H128" i="3"/>
  <c r="D136" i="1"/>
  <c r="G63" i="1"/>
  <c r="F63" i="1"/>
  <c r="H127" i="3" l="1"/>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107" i="4"/>
  <c r="H106" i="4"/>
  <c r="H105" i="4"/>
  <c r="H104" i="4"/>
  <c r="H103" i="4"/>
  <c r="H102" i="4"/>
  <c r="H101" i="4"/>
  <c r="H100" i="4"/>
  <c r="H99" i="4"/>
  <c r="H98" i="4"/>
  <c r="H97" i="4"/>
  <c r="H96" i="4"/>
  <c r="H95" i="4"/>
  <c r="H94" i="4"/>
  <c r="H93" i="4"/>
  <c r="H92" i="4"/>
  <c r="H91"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104" i="8"/>
  <c r="H103" i="8"/>
  <c r="H102" i="8"/>
  <c r="H101" i="8"/>
  <c r="H100" i="8"/>
  <c r="H99" i="8"/>
  <c r="H98" i="8"/>
  <c r="H97" i="8"/>
  <c r="H96" i="8"/>
  <c r="H95" i="8"/>
  <c r="H94" i="8"/>
  <c r="H93" i="8"/>
  <c r="H92" i="8"/>
  <c r="H91" i="8"/>
  <c r="H90" i="8"/>
  <c r="H89" i="8"/>
  <c r="H88"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105" i="9"/>
  <c r="H104" i="9"/>
  <c r="H103" i="9"/>
  <c r="H102" i="9"/>
  <c r="H101" i="9"/>
  <c r="H100" i="9"/>
  <c r="H99" i="9"/>
  <c r="H98" i="9"/>
  <c r="H97" i="9"/>
  <c r="H96" i="9"/>
  <c r="H95" i="9"/>
  <c r="H94" i="9"/>
  <c r="H93" i="9"/>
  <c r="H92" i="9"/>
  <c r="H91" i="9"/>
  <c r="H90" i="9"/>
  <c r="H89" i="9"/>
  <c r="H88"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H5" i="3"/>
  <c r="H5" i="4"/>
  <c r="H5" i="8"/>
  <c r="H5" i="9"/>
</calcChain>
</file>

<file path=xl/sharedStrings.xml><?xml version="1.0" encoding="utf-8"?>
<sst xmlns="http://schemas.openxmlformats.org/spreadsheetml/2006/main" count="12496" uniqueCount="1227">
  <si>
    <t>SUNDARAM MUTUAL FUND</t>
  </si>
  <si>
    <t>Sundaram Infrastructure Advantage Fund</t>
  </si>
  <si>
    <t>SL No</t>
  </si>
  <si>
    <t>ISIN Code</t>
  </si>
  <si>
    <t>Name of the instrument</t>
  </si>
  <si>
    <t>Rating / 
Industry</t>
  </si>
  <si>
    <t>Quantity</t>
  </si>
  <si>
    <t>Mkt Value
Rs. in Lacs</t>
  </si>
  <si>
    <t>% of Net Asset</t>
  </si>
  <si>
    <t>A) Equity &amp; Equity Related</t>
  </si>
  <si>
    <t>(a) Listed / awaiting listing on Stock Exchange</t>
  </si>
  <si>
    <t>INE018A01030</t>
  </si>
  <si>
    <t>Larsen &amp; Toubro Ltd</t>
  </si>
  <si>
    <t>Construction</t>
  </si>
  <si>
    <t>INE002A01018</t>
  </si>
  <si>
    <t>Reliance Industries Ltd</t>
  </si>
  <si>
    <t>Petroleum Products</t>
  </si>
  <si>
    <t>INE397D01024</t>
  </si>
  <si>
    <t>Bharti Airtel Ltd</t>
  </si>
  <si>
    <t>Telecom - Services</t>
  </si>
  <si>
    <t>INE733E01010</t>
  </si>
  <si>
    <t>NTPC LTD</t>
  </si>
  <si>
    <t>Power</t>
  </si>
  <si>
    <t>INE481G01011</t>
  </si>
  <si>
    <t>Ultratech Cement Ltd</t>
  </si>
  <si>
    <t>Cement &amp; Cement Products</t>
  </si>
  <si>
    <t>INE752E01010</t>
  </si>
  <si>
    <t>Power Grid Corporation of India Ltd</t>
  </si>
  <si>
    <t>INE263A01024</t>
  </si>
  <si>
    <t>Bharat Electronics Ltd</t>
  </si>
  <si>
    <t>Aerospace &amp; Defense</t>
  </si>
  <si>
    <t>INE090A01021</t>
  </si>
  <si>
    <t>ICICI Bank Ltd</t>
  </si>
  <si>
    <t>Banks</t>
  </si>
  <si>
    <t>INE200A01026</t>
  </si>
  <si>
    <t>GE Vernova T and D India Ltd</t>
  </si>
  <si>
    <t>Electrical Equipment</t>
  </si>
  <si>
    <t>INE371P01015</t>
  </si>
  <si>
    <t>Amber Enterprises India Ltd</t>
  </si>
  <si>
    <t>Consumer Durables</t>
  </si>
  <si>
    <t>INE284A01012</t>
  </si>
  <si>
    <t>ESAB India Ltd</t>
  </si>
  <si>
    <t>Industrial Products</t>
  </si>
  <si>
    <t>INE029A01011</t>
  </si>
  <si>
    <t>Bharat Petroleum Corporation Ltd</t>
  </si>
  <si>
    <t>INE791I01019</t>
  </si>
  <si>
    <t>Brigade Enterprises Ltd</t>
  </si>
  <si>
    <t>Realty</t>
  </si>
  <si>
    <t>INE062A01020</t>
  </si>
  <si>
    <t>State Bank of India</t>
  </si>
  <si>
    <t>INE823G01014</t>
  </si>
  <si>
    <t>JK Cement Ltd</t>
  </si>
  <si>
    <t>INE878B01027</t>
  </si>
  <si>
    <t>KEI Industries Ltd</t>
  </si>
  <si>
    <t>INE213A01029</t>
  </si>
  <si>
    <t>Oil &amp; Natural Gas Corporation Ltd</t>
  </si>
  <si>
    <t>Oil</t>
  </si>
  <si>
    <t>INE926X01010</t>
  </si>
  <si>
    <t>H.G. Infra Engineering Ltd</t>
  </si>
  <si>
    <t>INE220B01022</t>
  </si>
  <si>
    <t>Kalpataru Projects International Ltd</t>
  </si>
  <si>
    <t>INE419M01027</t>
  </si>
  <si>
    <t>TD Power Systems Ltd</t>
  </si>
  <si>
    <t>INE343G01021</t>
  </si>
  <si>
    <t>Bharti Hexacom Ltd</t>
  </si>
  <si>
    <t>INE868B01028</t>
  </si>
  <si>
    <t>NCC Ltd</t>
  </si>
  <si>
    <t>INE999A01023</t>
  </si>
  <si>
    <t>KSB LTD</t>
  </si>
  <si>
    <t>INE245A01021</t>
  </si>
  <si>
    <t>TATA Power Company Ltd</t>
  </si>
  <si>
    <t>INE003A01024</t>
  </si>
  <si>
    <t>Siemens Ltd</t>
  </si>
  <si>
    <t>INE742F01042</t>
  </si>
  <si>
    <t>Adani Ports and Special Economic Zone Ltd</t>
  </si>
  <si>
    <t>Transport Infrastructure</t>
  </si>
  <si>
    <t>INE121J01017</t>
  </si>
  <si>
    <t>Indus Towers Ltd (Prev Bharti Infratel Ltd)</t>
  </si>
  <si>
    <t>INE646L01027</t>
  </si>
  <si>
    <t>Interglobe Aviation Ltd</t>
  </si>
  <si>
    <t>Transport Services</t>
  </si>
  <si>
    <t>INE284S01014</t>
  </si>
  <si>
    <t>S.J.S. Enterprises Ltd</t>
  </si>
  <si>
    <t>Auto Components</t>
  </si>
  <si>
    <t>INE146L01010</t>
  </si>
  <si>
    <t>Kirloskar Oil Engines Ltd</t>
  </si>
  <si>
    <t>INE671H01015</t>
  </si>
  <si>
    <t>Sobha Ltd</t>
  </si>
  <si>
    <t>INE811A01020</t>
  </si>
  <si>
    <t>Kirlosakar Pneumatic Company Ltd</t>
  </si>
  <si>
    <t>INE152M01016</t>
  </si>
  <si>
    <t>Triveni Turbine Ltd</t>
  </si>
  <si>
    <t>INE00LO01017</t>
  </si>
  <si>
    <t>Craftsman Automation Ltd</t>
  </si>
  <si>
    <t>INE205B01031</t>
  </si>
  <si>
    <t>Elecon Engineering Company Ltd</t>
  </si>
  <si>
    <t>Industrial Manufacturing</t>
  </si>
  <si>
    <t>INE129A01019</t>
  </si>
  <si>
    <t>GAIL (India) Ltd</t>
  </si>
  <si>
    <t>Gas</t>
  </si>
  <si>
    <t>INE152A01029</t>
  </si>
  <si>
    <t>Thermax Ltd</t>
  </si>
  <si>
    <t>INE536A01023</t>
  </si>
  <si>
    <t>Grindwell Norton Ltd</t>
  </si>
  <si>
    <t>INE079A01024</t>
  </si>
  <si>
    <t>Ambuja Cements Ltd</t>
  </si>
  <si>
    <t>INE117A01022</t>
  </si>
  <si>
    <t>ABB India Ltd</t>
  </si>
  <si>
    <t>INE702C01027</t>
  </si>
  <si>
    <t>APL Apollo Tubes Ltd</t>
  </si>
  <si>
    <t>INE298A01020</t>
  </si>
  <si>
    <t>Cummins India Ltd</t>
  </si>
  <si>
    <t>INE040H01021</t>
  </si>
  <si>
    <t>Suzlon Energy Ltd</t>
  </si>
  <si>
    <t>INE513A01022</t>
  </si>
  <si>
    <t>Schaeffler India Ltd</t>
  </si>
  <si>
    <t>INE671A01010</t>
  </si>
  <si>
    <t>Honeywell Automation India Ltd</t>
  </si>
  <si>
    <t>INE020B01018</t>
  </si>
  <si>
    <t>REC Ltd</t>
  </si>
  <si>
    <t>Finance</t>
  </si>
  <si>
    <t>INE074A01025</t>
  </si>
  <si>
    <t>Praj Industries Ltd</t>
  </si>
  <si>
    <t>INE07Y701011</t>
  </si>
  <si>
    <t>Hitachi Energy India Ltd</t>
  </si>
  <si>
    <t>INE148O01028</t>
  </si>
  <si>
    <t>Delhivery Ltd</t>
  </si>
  <si>
    <t>INE813H01021</t>
  </si>
  <si>
    <t>Torrent Power Ltd</t>
  </si>
  <si>
    <t>INE111A01025</t>
  </si>
  <si>
    <t>Container Corporation of India Ltd</t>
  </si>
  <si>
    <t>INE257A01026</t>
  </si>
  <si>
    <t>Bharat Heavy Electricals Ltd</t>
  </si>
  <si>
    <t>INE08ZM01014</t>
  </si>
  <si>
    <t>Green Panel Industries Ltd</t>
  </si>
  <si>
    <t>INE00M201021</t>
  </si>
  <si>
    <t>Sterling and Wilson Renewable Energy Ltd</t>
  </si>
  <si>
    <t>INE749A01030</t>
  </si>
  <si>
    <t>Jindal Steel &amp; Power Ltd</t>
  </si>
  <si>
    <t>Ferrous Metals</t>
  </si>
  <si>
    <t>INE372A01015</t>
  </si>
  <si>
    <t>Apar Industries Ltd</t>
  </si>
  <si>
    <t>INE551A01022</t>
  </si>
  <si>
    <t>Engineering Services</t>
  </si>
  <si>
    <t>#</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</si>
  <si>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</si>
  <si>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</si>
  <si>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</si>
  <si>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</si>
  <si>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</si>
  <si>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</si>
  <si>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</si>
  <si>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</si>
  <si>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</si>
  <si>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</si>
  <si>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</si>
  <si>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</si>
  <si>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</si>
  <si>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</si>
  <si>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</si>
  <si>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</si>
  <si>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</si>
  <si>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</si>
  <si>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</si>
  <si>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</si>
  <si>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</si>
  <si>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</si>
  <si>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</si>
  <si>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</si>
  <si>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</si>
  <si>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</si>
  <si>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</si>
  <si>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</si>
  <si>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Notes</t>
  </si>
  <si>
    <t>a) Total securities classified as below investment grade or default provided for and its percentage to NAV</t>
  </si>
  <si>
    <t>Nil</t>
  </si>
  <si>
    <t>c) NAV  per  unit (Rupees per unit)</t>
  </si>
  <si>
    <t>At the end</t>
  </si>
  <si>
    <t>Option</t>
  </si>
  <si>
    <t>Direct Plan - Growth</t>
  </si>
  <si>
    <t>Regular Plan - Growth</t>
  </si>
  <si>
    <t>e) Total outstanding exposure in derivative instruments at the end of the period</t>
  </si>
  <si>
    <t>f) Total investments in foreign securities /ADR'S/GDR'S at the end of the period</t>
  </si>
  <si>
    <t>g) Repo in corporate debt</t>
  </si>
  <si>
    <t>h) Portfolio Turnover Ratio</t>
  </si>
  <si>
    <t>Sundaram Mid Cap Fund</t>
  </si>
  <si>
    <t>INE171A01029</t>
  </si>
  <si>
    <t>The Federal Bank Ltd</t>
  </si>
  <si>
    <t>INE169A01031</t>
  </si>
  <si>
    <t>Coromandel International Ltd</t>
  </si>
  <si>
    <t>Fertilizers &amp; Agrochemicals</t>
  </si>
  <si>
    <t>INE303R01014</t>
  </si>
  <si>
    <t>Kalyan Jewellers India Ltd</t>
  </si>
  <si>
    <t>INE262H01021</t>
  </si>
  <si>
    <t>Persistent Systems Ltd</t>
  </si>
  <si>
    <t>It - Software</t>
  </si>
  <si>
    <t>INE326A01037</t>
  </si>
  <si>
    <t>Lupin Ltd</t>
  </si>
  <si>
    <t>Pharmaceuticals &amp; Biotechnology</t>
  </si>
  <si>
    <t>INE562A01011</t>
  </si>
  <si>
    <t>Indian Bank</t>
  </si>
  <si>
    <t>INE093I01010</t>
  </si>
  <si>
    <t>Oberoi Realty Ltd</t>
  </si>
  <si>
    <t>INE849A01020</t>
  </si>
  <si>
    <t>Trent Ltd</t>
  </si>
  <si>
    <t>Retailing</t>
  </si>
  <si>
    <t>INE061F01013</t>
  </si>
  <si>
    <t>Fortis Health Care Ltd</t>
  </si>
  <si>
    <t>Healthcare Services</t>
  </si>
  <si>
    <t>INE774D01024</t>
  </si>
  <si>
    <t>Mahindra &amp; Mahindra Financial Services Ltd</t>
  </si>
  <si>
    <t>INE949L01017</t>
  </si>
  <si>
    <t>AU Small Finance Bank Ltd</t>
  </si>
  <si>
    <t>INE417T01026</t>
  </si>
  <si>
    <t>PB Fintech Ltd</t>
  </si>
  <si>
    <t>Financial Technology (Fintech)</t>
  </si>
  <si>
    <t>INE196A01026</t>
  </si>
  <si>
    <t>Marico Ltd</t>
  </si>
  <si>
    <t>Agricultural Food &amp; Other Products</t>
  </si>
  <si>
    <t>INE094A01015</t>
  </si>
  <si>
    <t>Hindustan Petroleum Corporation Ltd</t>
  </si>
  <si>
    <t>INE797F01020</t>
  </si>
  <si>
    <t>Jubilant Foodworks Ltd</t>
  </si>
  <si>
    <t>Leisure Services</t>
  </si>
  <si>
    <t>INE686F01025</t>
  </si>
  <si>
    <t>United Breweries Ltd</t>
  </si>
  <si>
    <t>Beverages</t>
  </si>
  <si>
    <t>INE438A01022</t>
  </si>
  <si>
    <t>Apollo Tyres Ltd</t>
  </si>
  <si>
    <t>INE540L01014</t>
  </si>
  <si>
    <t>Alkem Laboratories Ltd</t>
  </si>
  <si>
    <t>INE118H01025</t>
  </si>
  <si>
    <t>BSE Ltd</t>
  </si>
  <si>
    <t>Capital Markets</t>
  </si>
  <si>
    <t>INE663F01024</t>
  </si>
  <si>
    <t>Info Edge (India) Ltd</t>
  </si>
  <si>
    <t>INE027H01010</t>
  </si>
  <si>
    <t>Max Healthcare Institute Ltd</t>
  </si>
  <si>
    <t>INE010B01027</t>
  </si>
  <si>
    <t>Zydus Lifesciences Ltd</t>
  </si>
  <si>
    <t>INE356A01018</t>
  </si>
  <si>
    <t>MphasiS Ltd</t>
  </si>
  <si>
    <t>INE692A01016</t>
  </si>
  <si>
    <t>Union Bank of India</t>
  </si>
  <si>
    <t>INE105A01035</t>
  </si>
  <si>
    <t>TVS Holdings Ltd</t>
  </si>
  <si>
    <t>INE012A01025</t>
  </si>
  <si>
    <t>ACC Ltd</t>
  </si>
  <si>
    <t>INE427F01016</t>
  </si>
  <si>
    <t>Chalet Hotels Ltd</t>
  </si>
  <si>
    <t>INE455K01017</t>
  </si>
  <si>
    <t>Polycab India Ltd</t>
  </si>
  <si>
    <t>INE591G01017</t>
  </si>
  <si>
    <t>Coforge Ltd</t>
  </si>
  <si>
    <t>INE006I01046</t>
  </si>
  <si>
    <t>Astral Ltd</t>
  </si>
  <si>
    <t>INE288B01029</t>
  </si>
  <si>
    <t>Deepak Nitrite Ltd</t>
  </si>
  <si>
    <t>Chemicals &amp; Petrochemicals</t>
  </si>
  <si>
    <t>INE600L01024</t>
  </si>
  <si>
    <t>Dr Lal Path Labs Ltd</t>
  </si>
  <si>
    <t>INE465A01025</t>
  </si>
  <si>
    <t>Bharat Forge Ltd</t>
  </si>
  <si>
    <t>INE195A01028</t>
  </si>
  <si>
    <t>Supreme Industries Ltd</t>
  </si>
  <si>
    <t>INE115A01026</t>
  </si>
  <si>
    <t>LIC Housing Finance Ltd</t>
  </si>
  <si>
    <t>INE134E01011</t>
  </si>
  <si>
    <t>Power Finance Corporation Ltd</t>
  </si>
  <si>
    <t>INE721A01047</t>
  </si>
  <si>
    <t>Shriram Finance Ltd</t>
  </si>
  <si>
    <t>INE405E01023</t>
  </si>
  <si>
    <t>UNO Minda Ltd</t>
  </si>
  <si>
    <t>INE494B01023</t>
  </si>
  <si>
    <t>TVS Motor Company Ltd</t>
  </si>
  <si>
    <t>Automobiles</t>
  </si>
  <si>
    <t>INE811K01011</t>
  </si>
  <si>
    <t>Prestige Estates Projects Ltd</t>
  </si>
  <si>
    <t>INE726G01019</t>
  </si>
  <si>
    <t>ICICI Prudential Life Insurance Company Ltd</t>
  </si>
  <si>
    <t>Insurance</t>
  </si>
  <si>
    <t>INE342J01019</t>
  </si>
  <si>
    <t>ZF Commercial Vehicle Control Systems I Ltd</t>
  </si>
  <si>
    <t>INE974X01010</t>
  </si>
  <si>
    <t>Tube Investments of India Ltd</t>
  </si>
  <si>
    <t>INE603J01030</t>
  </si>
  <si>
    <t>PI Industries Ltd</t>
  </si>
  <si>
    <t>INE596I01012</t>
  </si>
  <si>
    <t>Computer Age Management Services Ltd</t>
  </si>
  <si>
    <t>INE872J01023</t>
  </si>
  <si>
    <t>Devyani international limited</t>
  </si>
  <si>
    <t>INE180A01020</t>
  </si>
  <si>
    <t>Max Financial Services Ltd</t>
  </si>
  <si>
    <t>INE634S01028</t>
  </si>
  <si>
    <t>Mankind Pharma Ltd</t>
  </si>
  <si>
    <t>INE246F01010</t>
  </si>
  <si>
    <t>Gujarat State Petronet Ltd</t>
  </si>
  <si>
    <t>INE073K01018</t>
  </si>
  <si>
    <t>Sona BLW Precision Forgings Ltd</t>
  </si>
  <si>
    <t>INE0LXG01040</t>
  </si>
  <si>
    <t>Ola Electric Mobility Ltd</t>
  </si>
  <si>
    <t>INE048G01026</t>
  </si>
  <si>
    <t>Navin Fluorine International Ltd</t>
  </si>
  <si>
    <t>INE670A01012</t>
  </si>
  <si>
    <t>Tata Elxsi Ltd</t>
  </si>
  <si>
    <t>INE226A01021</t>
  </si>
  <si>
    <t>Voltas Ltd</t>
  </si>
  <si>
    <t>INE216P01012</t>
  </si>
  <si>
    <t>Aavas Financiers Ltd</t>
  </si>
  <si>
    <t>INE053A01029</t>
  </si>
  <si>
    <t>The Indian Hotels Company Ltd</t>
  </si>
  <si>
    <t>INE376G01013</t>
  </si>
  <si>
    <t>Biocon Ltd</t>
  </si>
  <si>
    <t>INE211B01039</t>
  </si>
  <si>
    <t>The Phoenix Mills Ltd</t>
  </si>
  <si>
    <t>INE217B01036</t>
  </si>
  <si>
    <t>Kajaria Ceramics Ltd</t>
  </si>
  <si>
    <t>INE149A01033</t>
  </si>
  <si>
    <t>Cholamandalam Financial Holdings Ltd</t>
  </si>
  <si>
    <t>INE844O01030</t>
  </si>
  <si>
    <t>Gujarat Gas Co Ltd</t>
  </si>
  <si>
    <t>INE935N01020</t>
  </si>
  <si>
    <t>Dixon Technologies (India) Ltd</t>
  </si>
  <si>
    <t>INE531A01024</t>
  </si>
  <si>
    <t>Kansai Nerolac Paints Ltd</t>
  </si>
  <si>
    <t>INF173K01GU0</t>
  </si>
  <si>
    <t>Sundaram Large and Mid Cap Fund</t>
  </si>
  <si>
    <t>INE040A01034</t>
  </si>
  <si>
    <t>HDFC Bank Ltd</t>
  </si>
  <si>
    <t>INE009A01021</t>
  </si>
  <si>
    <t>Infosys Ltd</t>
  </si>
  <si>
    <t>INE758T01015</t>
  </si>
  <si>
    <t>Zomato Ltd</t>
  </si>
  <si>
    <t>INE237A01028</t>
  </si>
  <si>
    <t>Kotak Mahindra Bank Ltd</t>
  </si>
  <si>
    <t>INE467B01029</t>
  </si>
  <si>
    <t>Tata Consultancy Services Ltd</t>
  </si>
  <si>
    <t>INE044A01036</t>
  </si>
  <si>
    <t>Sun Pharmaceutical Industries Ltd</t>
  </si>
  <si>
    <t>INE238A01034</t>
  </si>
  <si>
    <t>Axis Bank Ltd</t>
  </si>
  <si>
    <t>INE028A01039</t>
  </si>
  <si>
    <t>Bank of Baroda</t>
  </si>
  <si>
    <t>INE200M01039</t>
  </si>
  <si>
    <t>Varun Beverages Ltd</t>
  </si>
  <si>
    <t>INE089A01031</t>
  </si>
  <si>
    <t>Dr. Reddys Laboratories Ltd</t>
  </si>
  <si>
    <t>INE154A01025</t>
  </si>
  <si>
    <t>ITC Ltd</t>
  </si>
  <si>
    <t>Diversified Fmcg</t>
  </si>
  <si>
    <t>INE745G01035</t>
  </si>
  <si>
    <t>Multi Commodity Exchange of India Ltd</t>
  </si>
  <si>
    <t>INE00WC01027</t>
  </si>
  <si>
    <t>Affle (India) Ltd</t>
  </si>
  <si>
    <t>It - Services</t>
  </si>
  <si>
    <t>INE317I01021</t>
  </si>
  <si>
    <t>Metro Brands Ltd</t>
  </si>
  <si>
    <t>INE155A01022</t>
  </si>
  <si>
    <t>Tata Motors Ltd</t>
  </si>
  <si>
    <t>INE066F01020</t>
  </si>
  <si>
    <t>Hindustan Aeronautics Ltd</t>
  </si>
  <si>
    <t>INE121A01024</t>
  </si>
  <si>
    <t>Cholamandalam Investment and Finance Company Ltd</t>
  </si>
  <si>
    <t>INE280A01028</t>
  </si>
  <si>
    <t>Titan Company Ltd</t>
  </si>
  <si>
    <t>INE880J01026</t>
  </si>
  <si>
    <t>JSW Infrastructure Ltd</t>
  </si>
  <si>
    <t>INE406A01037</t>
  </si>
  <si>
    <t>Aurobindo Pharma Ltd</t>
  </si>
  <si>
    <t>INE047A01021</t>
  </si>
  <si>
    <t>Grasim Industries Ltd</t>
  </si>
  <si>
    <t>INE522F01014</t>
  </si>
  <si>
    <t>Coal India Ltd</t>
  </si>
  <si>
    <t>Consumable Fuels</t>
  </si>
  <si>
    <t>INE377Y01014</t>
  </si>
  <si>
    <t>BAJAJ HOUSING FINANCE LTD</t>
  </si>
  <si>
    <t>Sundaram Long Term Tax Advantage Fund Series III</t>
  </si>
  <si>
    <t>INE914M01019</t>
  </si>
  <si>
    <t>Aster DM Healthcare Ltd</t>
  </si>
  <si>
    <t>INE429E01023</t>
  </si>
  <si>
    <t>Safari Industries (India) Ltd</t>
  </si>
  <si>
    <t>INE806T01020</t>
  </si>
  <si>
    <t>Sapphire Foods India Ltd</t>
  </si>
  <si>
    <t>INE0CLI01024</t>
  </si>
  <si>
    <t>Rate Gain Travel Technologies Ltd</t>
  </si>
  <si>
    <t>INE679A01013</t>
  </si>
  <si>
    <t>CSB Bank Ltd</t>
  </si>
  <si>
    <t>INE063P01018</t>
  </si>
  <si>
    <t>Equitas Small Finance Bank Limited</t>
  </si>
  <si>
    <t>INE551W01018</t>
  </si>
  <si>
    <t>Ujjivan Small Finance Bank Ltd</t>
  </si>
  <si>
    <t>INE572A01036</t>
  </si>
  <si>
    <t>JB Chemicals &amp; Pharmaceuticals Ltd</t>
  </si>
  <si>
    <t>INE199A01012</t>
  </si>
  <si>
    <t>Procter &amp; Gamble Health Ltd</t>
  </si>
  <si>
    <t>INE732I01013</t>
  </si>
  <si>
    <t>Angel One Ltd</t>
  </si>
  <si>
    <t>INE045A01017</t>
  </si>
  <si>
    <t>Ador Welding Ltd</t>
  </si>
  <si>
    <t>INE191H01014</t>
  </si>
  <si>
    <t>PVR INOX Ltd</t>
  </si>
  <si>
    <t>Entertainment</t>
  </si>
  <si>
    <t>INE285J01028</t>
  </si>
  <si>
    <t>SIS Ltd</t>
  </si>
  <si>
    <t>Commercial Services &amp; Supplies</t>
  </si>
  <si>
    <t>INE348B01021</t>
  </si>
  <si>
    <t>Century Plyboards (India) Ltd</t>
  </si>
  <si>
    <t>INE477A01020</t>
  </si>
  <si>
    <t>Can Fin Homes Ltd</t>
  </si>
  <si>
    <t>INE836A01035</t>
  </si>
  <si>
    <t>Birlasoft Ltd</t>
  </si>
  <si>
    <t>INE743M01012</t>
  </si>
  <si>
    <t>RHI Magnesita India Ltd</t>
  </si>
  <si>
    <t>INE274F01020</t>
  </si>
  <si>
    <t>Westlife Foodworld Ltd</t>
  </si>
  <si>
    <t>INE947Q01028</t>
  </si>
  <si>
    <t>Laurus Labs Ltd</t>
  </si>
  <si>
    <t>INE411H01032</t>
  </si>
  <si>
    <t>R Systems International Ltd</t>
  </si>
  <si>
    <t>INE741K01010</t>
  </si>
  <si>
    <t>Creditaccess Grameen Ltd</t>
  </si>
  <si>
    <t>INE688A01022</t>
  </si>
  <si>
    <t>Transport Corporation of India Ltd</t>
  </si>
  <si>
    <t>INE295F01017</t>
  </si>
  <si>
    <t>Butterfly Gandhimathi Appliances Ltd</t>
  </si>
  <si>
    <t>INE081A01020</t>
  </si>
  <si>
    <t>Tata Steel Ltd</t>
  </si>
  <si>
    <t>INE120A01034</t>
  </si>
  <si>
    <t>Carborundum Universal Ltd</t>
  </si>
  <si>
    <t>INE227C01017</t>
  </si>
  <si>
    <t>MM Forgings Ltd</t>
  </si>
  <si>
    <t>Sundaram Long Term Tax Advantage Fund Series IV</t>
  </si>
  <si>
    <t>Sundaram Long Term Tax Advantage Fund Series-I</t>
  </si>
  <si>
    <t>INE123W01016</t>
  </si>
  <si>
    <t>SBI Life Insurance Company Ltd</t>
  </si>
  <si>
    <t>INE860A01027</t>
  </si>
  <si>
    <t>HCL Technologies Ltd</t>
  </si>
  <si>
    <t>INE059A01026</t>
  </si>
  <si>
    <t>Cipla Ltd</t>
  </si>
  <si>
    <t>INE340A01012</t>
  </si>
  <si>
    <t>Birla Corporation Ltd</t>
  </si>
  <si>
    <t>INE030A01027</t>
  </si>
  <si>
    <t>Hindustan UniLever Ltd</t>
  </si>
  <si>
    <t>INE192A01025</t>
  </si>
  <si>
    <t>TATA Consumer Products Ltd</t>
  </si>
  <si>
    <t>INE038A01020</t>
  </si>
  <si>
    <t>Hindalco Industries Ltd</t>
  </si>
  <si>
    <t>Non - Ferrous Metals</t>
  </si>
  <si>
    <t>INE095A01012</t>
  </si>
  <si>
    <t>IndusInd Bank Ltd</t>
  </si>
  <si>
    <t>Sundaram Long Term Tax Advantage Fund Series-II</t>
  </si>
  <si>
    <t>INE075A01022</t>
  </si>
  <si>
    <t>Wipro Ltd</t>
  </si>
  <si>
    <t>INE379A01028</t>
  </si>
  <si>
    <t>ITC Hotels Ltd</t>
  </si>
  <si>
    <t>IN9397D01014</t>
  </si>
  <si>
    <t>Sundaram Long Term Micro Cap Tax Advantage Fund Series III</t>
  </si>
  <si>
    <t>INE386D01027</t>
  </si>
  <si>
    <t>Shivalik Bimetal Controls Ltd</t>
  </si>
  <si>
    <t>Sundaram Long Term Micro Cap Tax Advantage Fund Series IV</t>
  </si>
  <si>
    <t>Sundaram Long Term Micro Cap Tax Advantage Fund Series V</t>
  </si>
  <si>
    <t>Sundaram Long Term Micro Cap Tax Advantage Fund Series VI</t>
  </si>
  <si>
    <t>Sundaram Small Cap Fund</t>
  </si>
  <si>
    <t>INE572E01012</t>
  </si>
  <si>
    <t>PNB Housing Finance Ltd</t>
  </si>
  <si>
    <t>INE126A01031</t>
  </si>
  <si>
    <t>EID Parry India Ltd</t>
  </si>
  <si>
    <t>INE864I01014</t>
  </si>
  <si>
    <t>MTAR Technologies Ltd</t>
  </si>
  <si>
    <t>INE119A01028</t>
  </si>
  <si>
    <t>Balrampur Chini Mills Ltd</t>
  </si>
  <si>
    <t>INE794A01010</t>
  </si>
  <si>
    <t>Neuland Laboratories Ltd</t>
  </si>
  <si>
    <t>INE177F01017</t>
  </si>
  <si>
    <t>Kovai Medical Center &amp; Hospital Ltd</t>
  </si>
  <si>
    <t>INE503A01015</t>
  </si>
  <si>
    <t>DCB Bank Ltd</t>
  </si>
  <si>
    <t>INE0UOS01011</t>
  </si>
  <si>
    <t>Sanofi Consumer Healthcare India Ltd</t>
  </si>
  <si>
    <t>INE136S01016</t>
  </si>
  <si>
    <t>Neogen Chemicals Ltd</t>
  </si>
  <si>
    <t>INE482A01020</t>
  </si>
  <si>
    <t>Ceat Ltd</t>
  </si>
  <si>
    <t>INE342G01023</t>
  </si>
  <si>
    <t>NIIT Learning Systems Ltd</t>
  </si>
  <si>
    <t>Other Consumer Services</t>
  </si>
  <si>
    <t>INE011K01018</t>
  </si>
  <si>
    <t>Tega Industries Ltd</t>
  </si>
  <si>
    <t>INE136B01020</t>
  </si>
  <si>
    <t>Cyient Ltd</t>
  </si>
  <si>
    <t>INE570A01022</t>
  </si>
  <si>
    <t>Ion Exchange (India) Ltd</t>
  </si>
  <si>
    <t>Other Utilities</t>
  </si>
  <si>
    <t>INE602W01027</t>
  </si>
  <si>
    <t>Senco Gold Ltd</t>
  </si>
  <si>
    <t>INE548C01032</t>
  </si>
  <si>
    <t>Emami Ltd</t>
  </si>
  <si>
    <t>Personal Products</t>
  </si>
  <si>
    <t>INE456Z01021</t>
  </si>
  <si>
    <t>Medi Assist Healthcare Services Ltd</t>
  </si>
  <si>
    <t>INE142Z01019</t>
  </si>
  <si>
    <t>Orient Electric Ltd</t>
  </si>
  <si>
    <t>INE640A01023</t>
  </si>
  <si>
    <t>SKF India Ltd</t>
  </si>
  <si>
    <t>INE00F201020</t>
  </si>
  <si>
    <t>Prudent Corporate Advisory Services Ltd</t>
  </si>
  <si>
    <t>INE0V7W01012</t>
  </si>
  <si>
    <t>Carraro India Ltd</t>
  </si>
  <si>
    <t>INE094J01016</t>
  </si>
  <si>
    <t>UTI Asset Management Co Ltd</t>
  </si>
  <si>
    <t>INE930H01031</t>
  </si>
  <si>
    <t>K.P.R. Mill Ltd</t>
  </si>
  <si>
    <t>Textiles &amp; Apparels</t>
  </si>
  <si>
    <t>INE084A01016</t>
  </si>
  <si>
    <t>Bank of India</t>
  </si>
  <si>
    <t>INE944F01028</t>
  </si>
  <si>
    <t>Radico Khaitan Ltd</t>
  </si>
  <si>
    <t>INE0LMW01024</t>
  </si>
  <si>
    <t>Cello World Ltd</t>
  </si>
  <si>
    <t>Stock Future</t>
  </si>
  <si>
    <t>IN002024Z057</t>
  </si>
  <si>
    <t>Sovereign</t>
  </si>
  <si>
    <t>Margin Money For Derivatives</t>
  </si>
  <si>
    <t>Sundaram Aggressive Hybrid Fund</t>
  </si>
  <si>
    <t>INE854D01024</t>
  </si>
  <si>
    <t>United Spirits Ltd</t>
  </si>
  <si>
    <t>INE585B01010</t>
  </si>
  <si>
    <t>Maruti Suzuki India Ltd</t>
  </si>
  <si>
    <t>INE917I01010</t>
  </si>
  <si>
    <t>Bajaj Auto Ltd</t>
  </si>
  <si>
    <t>INE669C01036</t>
  </si>
  <si>
    <t>Tech Mahindra Ltd</t>
  </si>
  <si>
    <t>INE101A01026</t>
  </si>
  <si>
    <t>Mahindra &amp; Mahindra Ltd</t>
  </si>
  <si>
    <t>INE481N01025</t>
  </si>
  <si>
    <t>Home First Finance Company Ltd</t>
  </si>
  <si>
    <t>INE885A01032</t>
  </si>
  <si>
    <t>Amara Raja Energy &amp; Mobility Ltd</t>
  </si>
  <si>
    <t>INE183A01024</t>
  </si>
  <si>
    <t>Finolex Industries Ltd</t>
  </si>
  <si>
    <t>INE852S01026</t>
  </si>
  <si>
    <t>INE261F08EF5</t>
  </si>
  <si>
    <t>National Bank for Agriculture &amp; Rural Development - 7.8% - 15/03/2027</t>
  </si>
  <si>
    <t>ICRA AAA</t>
  </si>
  <si>
    <t>INE261F08DX0</t>
  </si>
  <si>
    <t>National Bank for Agriculture &amp; Rural Development - 7.58% - 31/07/2026</t>
  </si>
  <si>
    <t>CRISIL AAA</t>
  </si>
  <si>
    <t>INE121A07RZ4</t>
  </si>
  <si>
    <t>Cholamandalam Investment and Finance Co Ltd - 8.54% - 12/04/2029**</t>
  </si>
  <si>
    <t>ICRA AA+</t>
  </si>
  <si>
    <t>INE296A07SV1</t>
  </si>
  <si>
    <t>Bajaj Finance Ltd - 7.82% - 31/01/2034</t>
  </si>
  <si>
    <t>INE134E08MB9</t>
  </si>
  <si>
    <t>Power Finance Corporation Ltd - 7.82% - 06/03/2038**</t>
  </si>
  <si>
    <t>INE0KUG08027</t>
  </si>
  <si>
    <t>National Bank for Financing Infrastructure and Development - 7.65% - 22/12/2038**</t>
  </si>
  <si>
    <t>INE115A07QH6</t>
  </si>
  <si>
    <t>LIC Housing Finance Ltd - 8.025% - 23/03/2033**</t>
  </si>
  <si>
    <t>INE134E08NB7</t>
  </si>
  <si>
    <t>Power Finance Corporation Ltd - 7.32% - 15/07/2039**</t>
  </si>
  <si>
    <t>INE134E08MX3</t>
  </si>
  <si>
    <t>Power Finance Corporation Ltd - 7.6% - 13/04/2029</t>
  </si>
  <si>
    <t>INE556F08KM1</t>
  </si>
  <si>
    <t>Small Industries Development Bank of India - 7.79% - 14/05/2027</t>
  </si>
  <si>
    <t>INE261F08DV4</t>
  </si>
  <si>
    <t>National Bank for Agriculture &amp; Rural Development - 7.62% - 31/01/2028</t>
  </si>
  <si>
    <t>INE040A08955</t>
  </si>
  <si>
    <t>HDFC Bank Ltd - 7.7% - 16/05/2028**</t>
  </si>
  <si>
    <t>INE721A07RH9</t>
  </si>
  <si>
    <t>Shriram Finance Ltd - 8.75% - 15/06/2026</t>
  </si>
  <si>
    <t>CRISIL AA+</t>
  </si>
  <si>
    <t>INE556F08KH1</t>
  </si>
  <si>
    <t>Small Industries Development Bank of India - 7.43% - 31/08/2026</t>
  </si>
  <si>
    <t>INE0KUG08035</t>
  </si>
  <si>
    <t>National Bank for Financing Infrastructure and Development - 7.43% - 04/07/2034**</t>
  </si>
  <si>
    <t>INE296A07SU3</t>
  </si>
  <si>
    <t>Bajaj Finance Ltd - 7.87% - 08/02/2034**</t>
  </si>
  <si>
    <t>INE053F08338</t>
  </si>
  <si>
    <t>Indian Railway Finance Corporation Ltd - 7.68% - 24/11/2026**</t>
  </si>
  <si>
    <t>INE020B08FF1</t>
  </si>
  <si>
    <t>REC LTD - 7.56% - 31/08/2027**</t>
  </si>
  <si>
    <t>INE053F08296</t>
  </si>
  <si>
    <t>Indian Railway Finance Corporation Ltd - 7.74% - 15/04/2038**</t>
  </si>
  <si>
    <t>INE040A08666</t>
  </si>
  <si>
    <t>HDFC Bank Ltd (Prev HDFC Ltd) - 7.8% - 03/05/2033**</t>
  </si>
  <si>
    <t>INE752E08734</t>
  </si>
  <si>
    <t>Power Grid Corporation of India Ltd - 7.35% - 12/03/2034**</t>
  </si>
  <si>
    <t>INE134E08MJ2</t>
  </si>
  <si>
    <t>Power Finance Corporation Ltd - 7.77% - 15/04/2028**</t>
  </si>
  <si>
    <t>INE134E08MC7</t>
  </si>
  <si>
    <t>Power Finance Corporation Ltd - 7.77% - 15/07/2026</t>
  </si>
  <si>
    <t>INE040A08989</t>
  </si>
  <si>
    <t>HDFC Bank Ltd (Prev HDFC Ltd) - 7.35% - 10/02/2025**</t>
  </si>
  <si>
    <t>INE041007100</t>
  </si>
  <si>
    <t>Embassy Office Parks REIT - 7.77% - 05/06/2025**</t>
  </si>
  <si>
    <t>INE261F08DP6</t>
  </si>
  <si>
    <t>National Bank for Agriculture &amp; Rural Development - 7.35% - 08/07/2025**</t>
  </si>
  <si>
    <t>INE115A07PI6</t>
  </si>
  <si>
    <t>LIC Housing Finance Ltd - 6.17% - 03/09/2026**</t>
  </si>
  <si>
    <t>INE556F08KP4</t>
  </si>
  <si>
    <t>Small Industries Development Bank of India - 7.68% - 10/08/2027**</t>
  </si>
  <si>
    <t>INE572E07183</t>
  </si>
  <si>
    <t>PNB Housing Finance Ltd - 8.15% - 29/07/2027**</t>
  </si>
  <si>
    <t>IND AA+</t>
  </si>
  <si>
    <t>INE020B08EI8</t>
  </si>
  <si>
    <t>REC LTD - 7.51% - 31/07/2026**</t>
  </si>
  <si>
    <t>INE020B08EL2</t>
  </si>
  <si>
    <t>REC LTD - 7.44% - 30/04/2026**</t>
  </si>
  <si>
    <t>INE557F08FR8</t>
  </si>
  <si>
    <t>National Housing Bank - 7.22% - 23/07/2026**</t>
  </si>
  <si>
    <t>IN0020240019</t>
  </si>
  <si>
    <t>7.10% Central Government Securities 08/04/2034</t>
  </si>
  <si>
    <t>IN0020240027</t>
  </si>
  <si>
    <t>IN0020230077</t>
  </si>
  <si>
    <t>7.18%  Government Securities - 24/07/2037</t>
  </si>
  <si>
    <t>IN0020240035</t>
  </si>
  <si>
    <t>7.34% Central Government Securities 22/04/2064</t>
  </si>
  <si>
    <t>IN0020230051</t>
  </si>
  <si>
    <t>7.30% Government Securities - 19/06/2053</t>
  </si>
  <si>
    <t>IN0020220011</t>
  </si>
  <si>
    <t>IN0020240076</t>
  </si>
  <si>
    <t>7.02% Central Government Securities 18/06/2031</t>
  </si>
  <si>
    <t>IN0020210160</t>
  </si>
  <si>
    <t>IN3120230484</t>
  </si>
  <si>
    <t>7.44% Tamil Nadu State Government Securities -20/03/2034</t>
  </si>
  <si>
    <t>INE028A16EX5</t>
  </si>
  <si>
    <t>Bank of Baroda - 20/02/2025</t>
  </si>
  <si>
    <t>IND A1+</t>
  </si>
  <si>
    <t>INE040A16FA5</t>
  </si>
  <si>
    <t>HDFC Bank Ltd - 24/06/2025</t>
  </si>
  <si>
    <t>CRISIL A1+</t>
  </si>
  <si>
    <t>INE115A14EX5</t>
  </si>
  <si>
    <t>LIC Housing Finance Ltd - 21/03/2025**</t>
  </si>
  <si>
    <t>INF903JA1FR6</t>
  </si>
  <si>
    <t>Individual &amp; HUF</t>
  </si>
  <si>
    <t>Others</t>
  </si>
  <si>
    <t>Sundaram Arbitrage Fund</t>
  </si>
  <si>
    <t>INE271C01023</t>
  </si>
  <si>
    <t>DLF Ltd</t>
  </si>
  <si>
    <t>INE423A01024</t>
  </si>
  <si>
    <t>Adani Enterprises</t>
  </si>
  <si>
    <t>Metals &amp; Minerals Trading</t>
  </si>
  <si>
    <t>INE160A01022</t>
  </si>
  <si>
    <t>Punjab National Bank</t>
  </si>
  <si>
    <t>INE296A01024</t>
  </si>
  <si>
    <t>Bajaj Finance Ltd</t>
  </si>
  <si>
    <t>INE674K01013</t>
  </si>
  <si>
    <t>Aditya Birla Capital Ltd</t>
  </si>
  <si>
    <t>INE476A01022</t>
  </si>
  <si>
    <t>Canara Bank</t>
  </si>
  <si>
    <t>INE647O01011</t>
  </si>
  <si>
    <t>Aditya Birla Fashion and Retail Ltd</t>
  </si>
  <si>
    <t>INE918I01026</t>
  </si>
  <si>
    <t>Bajaj Finserv Ltd</t>
  </si>
  <si>
    <t>INE242A01010</t>
  </si>
  <si>
    <t>Indian Oil Corporation Ltd</t>
  </si>
  <si>
    <t>INE769A01020</t>
  </si>
  <si>
    <t>Aarti Industries Ltd</t>
  </si>
  <si>
    <t>IN0020220037</t>
  </si>
  <si>
    <t>7.38% Central Government Securities 20/06/2027</t>
  </si>
  <si>
    <t>IN002023Z489</t>
  </si>
  <si>
    <t>IN002024Z032</t>
  </si>
  <si>
    <t>IN002024Z040</t>
  </si>
  <si>
    <t>IN002024Z248</t>
  </si>
  <si>
    <t>Sundaram Balanced Advantage Fund</t>
  </si>
  <si>
    <t>INE002S01010</t>
  </si>
  <si>
    <t>Mahanagar Gas Ltd</t>
  </si>
  <si>
    <t>INE020B08FD6</t>
  </si>
  <si>
    <t>REC LTD - 7.58% - 31/05/2029**</t>
  </si>
  <si>
    <t>INE115A07QD5</t>
  </si>
  <si>
    <t>LIC Housing Finance Ltd - 7.82% - 28/11/2025**</t>
  </si>
  <si>
    <t>IN0020230135</t>
  </si>
  <si>
    <t>IN0020230036</t>
  </si>
  <si>
    <t>7.17% Government Securities - 17/04/20230</t>
  </si>
  <si>
    <t>-</t>
  </si>
  <si>
    <t>Sundaram Dividend Yield Fund</t>
  </si>
  <si>
    <t>INE848E01016</t>
  </si>
  <si>
    <t>NHPC Ltd</t>
  </si>
  <si>
    <t>INE486A01021</t>
  </si>
  <si>
    <t>CESC Ltd</t>
  </si>
  <si>
    <t>INE472A01039</t>
  </si>
  <si>
    <t>Blue Star Ltd</t>
  </si>
  <si>
    <t>INE010V01017</t>
  </si>
  <si>
    <t>L&amp;T Technology Services Ltd</t>
  </si>
  <si>
    <t>INE462A01022</t>
  </si>
  <si>
    <t>Bayer Cropscience Ltd</t>
  </si>
  <si>
    <t>INE058A01010</t>
  </si>
  <si>
    <t>Sanofi India Ltd</t>
  </si>
  <si>
    <t>IDIA00069480</t>
  </si>
  <si>
    <t>INE02CF01010</t>
  </si>
  <si>
    <t>IDIA00069477</t>
  </si>
  <si>
    <t>INE759J01022</t>
  </si>
  <si>
    <t>Sundaram Equity Savings Fund</t>
  </si>
  <si>
    <t>INE782A01015</t>
  </si>
  <si>
    <t>Johnson Controls-Hitachi AirConditioning India Ltd</t>
  </si>
  <si>
    <t>INE725G01011</t>
  </si>
  <si>
    <t>ICRA Ltd</t>
  </si>
  <si>
    <t>INE451A01017</t>
  </si>
  <si>
    <t>Force Motors Ltd</t>
  </si>
  <si>
    <t>INE019A01038</t>
  </si>
  <si>
    <t>JSW Steel Ltd</t>
  </si>
  <si>
    <t>INE795G01014</t>
  </si>
  <si>
    <t>HDFC Life Insurance Company Ltd</t>
  </si>
  <si>
    <t>INE00R701025</t>
  </si>
  <si>
    <t>Dalmia Cement (Bharat) Ltd.</t>
  </si>
  <si>
    <t>INE158A01026</t>
  </si>
  <si>
    <t>Hero MotoCorp Ltd</t>
  </si>
  <si>
    <t>INE021A01026</t>
  </si>
  <si>
    <t>Asian Paints Ltd</t>
  </si>
  <si>
    <t>INE115A07PR7</t>
  </si>
  <si>
    <t>LIC Housing Finance Ltd - 6.65% - 15/02/2027**</t>
  </si>
  <si>
    <t>INE020B08EM0</t>
  </si>
  <si>
    <t>REC LTD - 7.64% - 30/06/2026**</t>
  </si>
  <si>
    <t>INE261F08EA6</t>
  </si>
  <si>
    <t>National Bank for Agriculture &amp; Rural Development - 7.5% - 31/08/2026</t>
  </si>
  <si>
    <t>IN0020230101</t>
  </si>
  <si>
    <t>7.37% Government Securities-23/10/2028</t>
  </si>
  <si>
    <t>IN0020240050</t>
  </si>
  <si>
    <t>7.04% Central Government Securities 03/06/2029</t>
  </si>
  <si>
    <t>INE476A16ZO0</t>
  </si>
  <si>
    <t>Canara Bank - 04/12/2025**</t>
  </si>
  <si>
    <t>INE514E16CI1</t>
  </si>
  <si>
    <t>Export Import Bank of India - 30/12/2025**</t>
  </si>
  <si>
    <t>IN002024Z362</t>
  </si>
  <si>
    <t>364 Days - T Bill - 18/12/2025</t>
  </si>
  <si>
    <t>Sundaram Focused  Fund</t>
  </si>
  <si>
    <t>INE765G01017</t>
  </si>
  <si>
    <t>ICICI Lombard General Insurance Company Ltd</t>
  </si>
  <si>
    <t>INE068V01023</t>
  </si>
  <si>
    <t>Gland Pharma Ltd</t>
  </si>
  <si>
    <t>INE330T01021</t>
  </si>
  <si>
    <t>Happy Forgings Ltd</t>
  </si>
  <si>
    <t>INE066A01021</t>
  </si>
  <si>
    <t>Eicher Motors Ltd</t>
  </si>
  <si>
    <t>Sundaram Multi Cap Fund</t>
  </si>
  <si>
    <t>INE668F01031</t>
  </si>
  <si>
    <t>Jyothy Laboratories Ltd</t>
  </si>
  <si>
    <t>Household Products</t>
  </si>
  <si>
    <t>INE112L01020</t>
  </si>
  <si>
    <t>Metropolis Healthcare Ltd</t>
  </si>
  <si>
    <t>INE147E01013</t>
  </si>
  <si>
    <t>INE431E01011</t>
  </si>
  <si>
    <t>Healthcare Equipment &amp; Supplies</t>
  </si>
  <si>
    <t>IDIA00069356</t>
  </si>
  <si>
    <t>INE604A01011</t>
  </si>
  <si>
    <t>INE406B01019</t>
  </si>
  <si>
    <t>INE348C01011</t>
  </si>
  <si>
    <t>Paper, Forest &amp; Jute Products</t>
  </si>
  <si>
    <t>IDIA00069359</t>
  </si>
  <si>
    <t>Sundaram Nifty 100 Equal Weight Fund</t>
  </si>
  <si>
    <t>INE239A01024</t>
  </si>
  <si>
    <t>Nestle India Ltd</t>
  </si>
  <si>
    <t>Food Products</t>
  </si>
  <si>
    <t>INE216A01030</t>
  </si>
  <si>
    <t>Britannia Industries Ltd</t>
  </si>
  <si>
    <t>INE070A01015</t>
  </si>
  <si>
    <t>Shree Cement Ltd</t>
  </si>
  <si>
    <t>INE102D01028</t>
  </si>
  <si>
    <t>Godrej Consumer Products Ltd</t>
  </si>
  <si>
    <t>INE335Y01020</t>
  </si>
  <si>
    <t>Indian Railway Catering &amp; Tourism Corporation Ltd</t>
  </si>
  <si>
    <t>INE192R01011</t>
  </si>
  <si>
    <t>Avenue Supermarts Ltd</t>
  </si>
  <si>
    <t>INE016A01026</t>
  </si>
  <si>
    <t>Dabur India Ltd</t>
  </si>
  <si>
    <t>INE118A01012</t>
  </si>
  <si>
    <t>Bajaj Holdings &amp; Investment Ltd</t>
  </si>
  <si>
    <t>INE053F01010</t>
  </si>
  <si>
    <t>Indian Railway Finance Corporation Ltd</t>
  </si>
  <si>
    <t>INE814H01011</t>
  </si>
  <si>
    <t>Adani Power Ltd</t>
  </si>
  <si>
    <t>INE214T01019</t>
  </si>
  <si>
    <t>LTIMindtree Ltd</t>
  </si>
  <si>
    <t>INE318A01026</t>
  </si>
  <si>
    <t>Pidilite Industries Ltd</t>
  </si>
  <si>
    <t>INE399L01023</t>
  </si>
  <si>
    <t>Adani Total Gas Ltd</t>
  </si>
  <si>
    <t>INE205A01025</t>
  </si>
  <si>
    <t>Vedanta Ltd</t>
  </si>
  <si>
    <t>Diversified Metals</t>
  </si>
  <si>
    <t>INE361B01024</t>
  </si>
  <si>
    <t>Divis Laboratories Ltd</t>
  </si>
  <si>
    <t>INE931S01010</t>
  </si>
  <si>
    <t>Adani Energy Solutions Ltd</t>
  </si>
  <si>
    <t>INE0J1Y01017</t>
  </si>
  <si>
    <t>LIC of India Ltd</t>
  </si>
  <si>
    <t>INE685A01028</t>
  </si>
  <si>
    <t>Torrent Pharmaceuticals Ltd</t>
  </si>
  <si>
    <t>INE364U01010</t>
  </si>
  <si>
    <t>Adani Green Energy Ltd</t>
  </si>
  <si>
    <t>INE176B01034</t>
  </si>
  <si>
    <t>Havells India Ltd</t>
  </si>
  <si>
    <t>INE437A01024</t>
  </si>
  <si>
    <t>Apollo Hospitals Enterprise Ltd</t>
  </si>
  <si>
    <t>INE775A01035</t>
  </si>
  <si>
    <t>Samvardhana Motherson International Ltd</t>
  </si>
  <si>
    <t>INE670K01029</t>
  </si>
  <si>
    <t>Macrotech Developers Ltd</t>
  </si>
  <si>
    <t>INE323A01026</t>
  </si>
  <si>
    <t>Bosch Ltd</t>
  </si>
  <si>
    <t>INE121E01018</t>
  </si>
  <si>
    <t>JSW Energy Ltd</t>
  </si>
  <si>
    <t>INE758E01017</t>
  </si>
  <si>
    <t>Jio Financial Services Ltd</t>
  </si>
  <si>
    <t>Sundaram ELSS Tax Saver Fund</t>
  </si>
  <si>
    <t>INE176A01028</t>
  </si>
  <si>
    <t>Bata India Ltd</t>
  </si>
  <si>
    <t>INE00H001014</t>
  </si>
  <si>
    <t>Swiggy Ltd</t>
  </si>
  <si>
    <t>INE274J01014</t>
  </si>
  <si>
    <t>Oil India Ltd</t>
  </si>
  <si>
    <t>INE0V6F01027</t>
  </si>
  <si>
    <t>Hyundai Motor India Ltd</t>
  </si>
  <si>
    <t>Sundaram Consumption Fund</t>
  </si>
  <si>
    <t>INE02YR01019</t>
  </si>
  <si>
    <t>Electronics Mart India Ltd</t>
  </si>
  <si>
    <t>INE473B01035</t>
  </si>
  <si>
    <t>Hatsun Agro Product Ltd</t>
  </si>
  <si>
    <t>Sundaram Services Fund</t>
  </si>
  <si>
    <t>INE761H01022</t>
  </si>
  <si>
    <t>Page Industries Ltd</t>
  </si>
  <si>
    <t>INE127D01025</t>
  </si>
  <si>
    <t>HDFC Asset Management Company Ltd</t>
  </si>
  <si>
    <t>MU0295S00016</t>
  </si>
  <si>
    <t>Sundaram Diversified Equity</t>
  </si>
  <si>
    <t>Sundaram Large Cap Fund</t>
  </si>
  <si>
    <t>Sundaram Business Cycle Fund</t>
  </si>
  <si>
    <t>INE410P01011</t>
  </si>
  <si>
    <t>Narayana Hrudayalaya Ltd</t>
  </si>
  <si>
    <t>INE01EA01019</t>
  </si>
  <si>
    <t>Vishal Mega Mart Ltd</t>
  </si>
  <si>
    <t>INE371A01025</t>
  </si>
  <si>
    <t>Graphite India Ltd</t>
  </si>
  <si>
    <t>INE224A01026</t>
  </si>
  <si>
    <t>Greaves Cotton Ltd</t>
  </si>
  <si>
    <t>INE388Y01029</t>
  </si>
  <si>
    <t>FSN E–Commerce Ventures Ltd(NYKAA)</t>
  </si>
  <si>
    <t>Sundaram Flexi Cap Fund</t>
  </si>
  <si>
    <t>Sundaram Financial Services Opportunities Fund</t>
  </si>
  <si>
    <t>Institutional Plan - Growth</t>
  </si>
  <si>
    <t>Sundaram Multi Asset Allocation Fund</t>
  </si>
  <si>
    <t>INE087A01019</t>
  </si>
  <si>
    <t>Kesoram Industries Ltd</t>
  </si>
  <si>
    <t>IN0020230119</t>
  </si>
  <si>
    <t>7.33% Government Securities-30/10/2026</t>
  </si>
  <si>
    <t>INF204KB17I5</t>
  </si>
  <si>
    <t>Nippon India ETF Gold Bees</t>
  </si>
  <si>
    <t>INF200KA16D8</t>
  </si>
  <si>
    <t>SBI-ETF GOLD</t>
  </si>
  <si>
    <t>INF179KC1981</t>
  </si>
  <si>
    <t>HDFC Gold Exchange Traded Fund</t>
  </si>
  <si>
    <t>INF174KA1HJ8</t>
  </si>
  <si>
    <t>Kotak Mutual Fund - Gold Exchange Traded Fund</t>
  </si>
  <si>
    <t>INF740KA1SW3</t>
  </si>
  <si>
    <t>DSP-GOLD ETF</t>
  </si>
  <si>
    <t>YTM (%)</t>
  </si>
  <si>
    <t>Monthly Portfolio Statement for the month ended 31 January 2025</t>
  </si>
  <si>
    <t>Hindustan Dorr Oliver Ltd @</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</si>
  <si>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</si>
  <si>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</si>
  <si>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</si>
  <si>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</si>
  <si>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</si>
  <si>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b) Total value and percentage of illiquid equity / Preference shares @</t>
  </si>
  <si>
    <t>At the beginning</t>
  </si>
  <si>
    <t>d) IDCW declared during the period (Rupees per unit)</t>
  </si>
  <si>
    <t>Scheme Riskometer :</t>
  </si>
  <si>
    <t>Tier I Benchmark Riskometer :</t>
  </si>
  <si>
    <t xml:space="preserve">                     NIFTY Infrastructure TRI</t>
  </si>
  <si>
    <t>Sundaram Liquid Fund - Direct Growth*</t>
  </si>
  <si>
    <t>Tier II Benchmark Riskometer :</t>
  </si>
  <si>
    <t xml:space="preserve">                        Nifty Mid Cap 150 TRI</t>
  </si>
  <si>
    <t xml:space="preserve">                            Nifty Mid Cap 100 TRI</t>
  </si>
  <si>
    <t xml:space="preserve">           Nifty Large Mid Cap 250 INDEX</t>
  </si>
  <si>
    <t xml:space="preserve">                           BSE 500 INDEX</t>
  </si>
  <si>
    <t xml:space="preserve">                                    BSE 500 INDEX</t>
  </si>
  <si>
    <t xml:space="preserve">                    BSE 500 INDEX</t>
  </si>
  <si>
    <t>Bharti Airtel Ltd - Partly Paid Right Shares</t>
  </si>
  <si>
    <t xml:space="preserve">                    Nifty Small Cap 100</t>
  </si>
  <si>
    <t xml:space="preserve">                   Nifty Small Cap 100</t>
  </si>
  <si>
    <t xml:space="preserve">                      Nifty Small Cap 100</t>
  </si>
  <si>
    <t xml:space="preserve">                     Nifty Small Cap 100</t>
  </si>
  <si>
    <t>Angel One Ltd February 2025</t>
  </si>
  <si>
    <t>KEI Industries Ltd February 2025</t>
  </si>
  <si>
    <t>Cash and Other Net Current Assets^</t>
  </si>
  <si>
    <t xml:space="preserve">           Nifty Small Cap 250 TRI</t>
  </si>
  <si>
    <t xml:space="preserve">           Nifty Small Cap 100 TRI</t>
  </si>
  <si>
    <t>(f) Convertible Debenture</t>
  </si>
  <si>
    <t>INE121A08PJ0</t>
  </si>
  <si>
    <t>7.5% Cholamandalam Investment and Company Ltd - 30/09/2026</t>
  </si>
  <si>
    <t>Unrated</t>
  </si>
  <si>
    <t>7.30% Central Government Securities_Floating Rate Bond - 04/10/2028 ~</t>
  </si>
  <si>
    <t>Refer below point i)</t>
  </si>
  <si>
    <t>Direct Plan - Monthly IDCW</t>
  </si>
  <si>
    <t>Regular Plan - Monthly IDCW</t>
  </si>
  <si>
    <t>Annexure-A</t>
  </si>
  <si>
    <t>Name of The security</t>
  </si>
  <si>
    <t xml:space="preserve">ISIN </t>
  </si>
  <si>
    <t>Net receivable/Market value  (Rs. Lakh)</t>
  </si>
  <si>
    <t>% to NAV</t>
  </si>
  <si>
    <t>Total Amount(Principal &amp; Interest)  (Rs. Lakh)</t>
  </si>
  <si>
    <t xml:space="preserve">IL&amp;FS Financial Services Ltd. 24SEP18 CP </t>
  </si>
  <si>
    <t>INE121H14JU3</t>
  </si>
  <si>
    <t>ISIN</t>
  </si>
  <si>
    <t>NAME OF THE SECURITY</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</si>
  <si>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</si>
  <si>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</si>
  <si>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</si>
  <si>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</si>
  <si>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</si>
  <si>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</si>
  <si>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</si>
  <si>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</si>
  <si>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</si>
  <si>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</si>
  <si>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</si>
  <si>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</si>
  <si>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</si>
  <si>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</si>
  <si>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</si>
  <si>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</si>
  <si>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</si>
  <si>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 in case of semi annual YTM,  it will be annualised </t>
  </si>
  <si>
    <t xml:space="preserve">           CRISIL Hybrid 35 Plus 65 - Aggressive Index</t>
  </si>
  <si>
    <t>31-Jan-2025</t>
  </si>
  <si>
    <t>Aarti Industries Limited February 2025</t>
  </si>
  <si>
    <t>Indian Oil Corporation Ltd February 2025</t>
  </si>
  <si>
    <t>NTPC Limited February 2025</t>
  </si>
  <si>
    <t>Bajaj Finserv Limited February 2025</t>
  </si>
  <si>
    <t>Coal India Limited February 2025</t>
  </si>
  <si>
    <t>Titan Company Limited February 2025</t>
  </si>
  <si>
    <t xml:space="preserve">	State Bank Of India Limited February 2025</t>
  </si>
  <si>
    <t xml:space="preserve">	Mahindra &amp; Mahindra Limited February 2025</t>
  </si>
  <si>
    <t>Bharat Electronics Limited February 2025</t>
  </si>
  <si>
    <t>Aditya Birla Fashion And Retail Limited February 2025</t>
  </si>
  <si>
    <t>Aurobindo Pharma Limited February 2025</t>
  </si>
  <si>
    <t>Canara Bank February 2025</t>
  </si>
  <si>
    <t>SBI Life Insurance Company Limited February 2025</t>
  </si>
  <si>
    <t>Aditya Birla Capital Limited February 2025</t>
  </si>
  <si>
    <t xml:space="preserve">	Tata Steel Limited February 2025</t>
  </si>
  <si>
    <t>Cipla Limited February 2025</t>
  </si>
  <si>
    <t>Kotak Mahindra Bank Limited February 2025</t>
  </si>
  <si>
    <t>Tata Power Company Ltd February 2025</t>
  </si>
  <si>
    <t>Bank of Baroda February 2025</t>
  </si>
  <si>
    <t>Bajaj Finance Limited February 2025</t>
  </si>
  <si>
    <t>Bharti Airtel Limited February 2025</t>
  </si>
  <si>
    <t>Punjab National Bank February 2025</t>
  </si>
  <si>
    <t>The Indian Hotels Company Limited February 2025</t>
  </si>
  <si>
    <t>Hindalco Industries Limited February 2025</t>
  </si>
  <si>
    <t>IndusInd Bank Limited February 2025</t>
  </si>
  <si>
    <t>Sun Pharmaceutical Industries Limited February 2025</t>
  </si>
  <si>
    <t>Adani Enterprises Limited February 2025</t>
  </si>
  <si>
    <t>DLF Limited February 2025</t>
  </si>
  <si>
    <t>Larsen and Toubro Ltd February 2025</t>
  </si>
  <si>
    <t>Axis Bank Limited February 2025</t>
  </si>
  <si>
    <t>TATA Consultancy Services Limited February 2025</t>
  </si>
  <si>
    <t>Ambuja Cements Limited February 2025</t>
  </si>
  <si>
    <t>Tata Motors Limited February 2025</t>
  </si>
  <si>
    <t>ICICI Bank Limited February 2025</t>
  </si>
  <si>
    <t>Indus Towers Limited February 2025</t>
  </si>
  <si>
    <t>ITC Limited February 2025</t>
  </si>
  <si>
    <t>Reliance Industries Limited February 2025</t>
  </si>
  <si>
    <t xml:space="preserve">           NIFTY 50 Arbitrage INDEX</t>
  </si>
  <si>
    <t>INE041025011</t>
  </si>
  <si>
    <t>Embassy Office Parks (REIT)</t>
  </si>
  <si>
    <t>INE0GGX23010</t>
  </si>
  <si>
    <t>Power Grid Infrastructure Investment Trust (InvIT)</t>
  </si>
  <si>
    <t>Mahanagar Gas Ltd February 2025</t>
  </si>
  <si>
    <t>GAIL (India) Limited February 2025</t>
  </si>
  <si>
    <t>Infosys Limited February 2025</t>
  </si>
  <si>
    <t xml:space="preserve">           NIFTY 50 Hybrid Composite Debt 50 : 50 INDEX</t>
  </si>
  <si>
    <t>Sandur Laminates Ltd @</t>
  </si>
  <si>
    <t>Crystal Cable Industries Ltd @</t>
  </si>
  <si>
    <t>Tirrihannah Company Ltd @</t>
  </si>
  <si>
    <t>Minerava Holdings Ltd @</t>
  </si>
  <si>
    <t>21.50% Dewan Rubber Ltd</t>
  </si>
  <si>
    <t>Not Available</t>
  </si>
  <si>
    <t>Chemox Chemicals Industries</t>
  </si>
  <si>
    <t xml:space="preserve">                                NIFTY 500</t>
  </si>
  <si>
    <t>Voltas Limited February 2025</t>
  </si>
  <si>
    <t>Grasim Industries Limited February 2025</t>
  </si>
  <si>
    <t>Lupin Limited February 2025</t>
  </si>
  <si>
    <t>Cholamandalam Investment and Finance Company Ltd  February 2025</t>
  </si>
  <si>
    <t>Hero MotoCorp Limited February 2025</t>
  </si>
  <si>
    <t xml:space="preserve">	United Spirits Limited February 2025</t>
  </si>
  <si>
    <t>HDFC Life Insurance Company Limited February 2025</t>
  </si>
  <si>
    <t>JSW Steel Limited February 2025</t>
  </si>
  <si>
    <t>Interglobe Aviation Ltd February 2025</t>
  </si>
  <si>
    <t>TVS Motor Company Limited February 2025</t>
  </si>
  <si>
    <t xml:space="preserve">	Hindustan Unilever Limited February 2025</t>
  </si>
  <si>
    <t>Maruti Suzuki India Limited February 2025</t>
  </si>
  <si>
    <t>HCL Technologies Limited February 2025</t>
  </si>
  <si>
    <t xml:space="preserve">                      Nifty Equity Savings INDEX</t>
  </si>
  <si>
    <t xml:space="preserve">                              Nifty 500 TRI</t>
  </si>
  <si>
    <t xml:space="preserve">           Nifty Large MID CAP 250 TRI</t>
  </si>
  <si>
    <t>Chennai Super Kings Ltd @</t>
  </si>
  <si>
    <t>Crescent Finstock Ltd @</t>
  </si>
  <si>
    <t>Balmer Lawrie Freight Containers Ltd @</t>
  </si>
  <si>
    <t>Precision Fasteners Ltd @</t>
  </si>
  <si>
    <t>Virtual Dynamics Software Ltd @</t>
  </si>
  <si>
    <t>Noble Brothers Impex Ltd @</t>
  </si>
  <si>
    <t>Sangam Health Care Products Ltd @</t>
  </si>
  <si>
    <t>Mukerian Papers Ltd @</t>
  </si>
  <si>
    <t>15% Premier Vinyl Ltd</t>
  </si>
  <si>
    <t xml:space="preserve">           Nifty 500 MultiCap 50:25:25</t>
  </si>
  <si>
    <t xml:space="preserve">          Nifty 100 Equal Weight TRI</t>
  </si>
  <si>
    <t>18% Jord Engineering Ltd</t>
  </si>
  <si>
    <t xml:space="preserve">                          NIFTY 500</t>
  </si>
  <si>
    <t xml:space="preserve">           Nifty India Consumption TRI</t>
  </si>
  <si>
    <t>Make My Trip Ltd (USD)</t>
  </si>
  <si>
    <t>Delhivery February 2025</t>
  </si>
  <si>
    <t xml:space="preserve">           NIFTY Services Sector Index</t>
  </si>
  <si>
    <t xml:space="preserve">           NIFTY 500 MULTICAP 50:25:25</t>
  </si>
  <si>
    <t xml:space="preserve">                       NIFTY 500</t>
  </si>
  <si>
    <t xml:space="preserve">               Nifty 100 TRI INDEX</t>
  </si>
  <si>
    <t>Fsn E-Commerce Ventures Ltd February 2025</t>
  </si>
  <si>
    <t xml:space="preserve">                      Nifty_500_ TRI</t>
  </si>
  <si>
    <t xml:space="preserve">                  Nifty 500 TRI</t>
  </si>
  <si>
    <t xml:space="preserve">                      Nifty 500 TRI</t>
  </si>
  <si>
    <t xml:space="preserve">           Nifty Financial Services</t>
  </si>
  <si>
    <t>Bajaj Auto Limited February 2025</t>
  </si>
  <si>
    <t>Eicher Motor Limited February 2025</t>
  </si>
  <si>
    <t>Hindustan Aeronautics Limited February 2025</t>
  </si>
  <si>
    <t>NIFTY 500 TRI (65%) + NIFTY Short Duration Debt Index (10%) + Domestic Prices of Gold (25%)</t>
  </si>
  <si>
    <t>Index</t>
  </si>
  <si>
    <t>Direct Plan - IDCW</t>
  </si>
  <si>
    <t>Regular Plan - IDCW</t>
  </si>
  <si>
    <t>Direct Plan - Halfyearly IDCW</t>
  </si>
  <si>
    <t>Regular Plan - Halfyearly IDCW</t>
  </si>
  <si>
    <t>Direct Plan - Quarterly IDCW</t>
  </si>
  <si>
    <t>Regular Plan - Quarterly IDCW</t>
  </si>
  <si>
    <t>Institutional Plan - IDCW</t>
  </si>
  <si>
    <t>S.NO.</t>
  </si>
  <si>
    <t>ACRONYM</t>
  </si>
  <si>
    <t>SCHEME NAME</t>
  </si>
  <si>
    <t>CAPEXG</t>
  </si>
  <si>
    <t>GLOB</t>
  </si>
  <si>
    <t>Sundaram Global Brand Fund</t>
  </si>
  <si>
    <t>MIDCAP</t>
  </si>
  <si>
    <t>MULTIP</t>
  </si>
  <si>
    <t>Sundaram Large And Mid Cap Fund</t>
  </si>
  <si>
    <t>SLTADV3</t>
  </si>
  <si>
    <t>Sundaram Long Term Advantage Fund Series III</t>
  </si>
  <si>
    <t>SLTADV4</t>
  </si>
  <si>
    <t>Sundaram Long Term Advantage Fund Series IV</t>
  </si>
  <si>
    <t>SLTAX1</t>
  </si>
  <si>
    <t>Sundaram Long Term Tax Advantage Fund Series I</t>
  </si>
  <si>
    <t>SLTAX2</t>
  </si>
  <si>
    <t>Sundaram Long Term Tax Advantage Fund Series II</t>
  </si>
  <si>
    <t>SLTAX3</t>
  </si>
  <si>
    <t>SLTAX4</t>
  </si>
  <si>
    <t>SLTAX5</t>
  </si>
  <si>
    <t>SLTAX6</t>
  </si>
  <si>
    <t>SMILE</t>
  </si>
  <si>
    <t>SPAHF</t>
  </si>
  <si>
    <t>SPARF</t>
  </si>
  <si>
    <t xml:space="preserve">Sundaram Arbitrage Fund </t>
  </si>
  <si>
    <t>SPBAF</t>
  </si>
  <si>
    <t>SPDYF</t>
  </si>
  <si>
    <t>SPESF</t>
  </si>
  <si>
    <t>SPFOCUS</t>
  </si>
  <si>
    <t>Sundaram Focused  Fund</t>
  </si>
  <si>
    <t>SPMUCF</t>
  </si>
  <si>
    <t>SPSN100</t>
  </si>
  <si>
    <t>Sundaram NIFTY 100 Equal Weight Fund</t>
  </si>
  <si>
    <t>SPTAX</t>
  </si>
  <si>
    <t>SRURAL</t>
  </si>
  <si>
    <t>SSFUND</t>
  </si>
  <si>
    <t>STAX</t>
  </si>
  <si>
    <t>SUNBCF</t>
  </si>
  <si>
    <t>SUNFCF</t>
  </si>
  <si>
    <t>SUNFOP</t>
  </si>
  <si>
    <t>SUNMAF</t>
  </si>
  <si>
    <t>SUNCYF</t>
  </si>
  <si>
    <t>SG9999013908</t>
  </si>
  <si>
    <t>Sundaram Global Brand Fund - Master Class</t>
  </si>
  <si>
    <t xml:space="preserve"> (a) Investments in Foreign Securities - Units of Mutual Funds</t>
  </si>
  <si>
    <t>364 Days - T Bill - 02/05/2025*</t>
  </si>
  <si>
    <t>7.10% Central Government Securities 18/04/2029*</t>
  </si>
  <si>
    <t>7.23% Central Government Securities 15/04/2039*</t>
  </si>
  <si>
    <t>Sundaram Money Market Fund-Direct Plan - Growth*</t>
  </si>
  <si>
    <t>7.38% Central Government Securities 20/06/2027*</t>
  </si>
  <si>
    <t>364 Days- T Bill-13/02/2025*</t>
  </si>
  <si>
    <t>364 Days - T Bill - 18/04/2025*</t>
  </si>
  <si>
    <t>364 Days - T Bill - 24/04/2025*</t>
  </si>
  <si>
    <t>364 Days - T Bill - 11/09/2025*</t>
  </si>
  <si>
    <t>7.32% Government Securities-13/11/2030*</t>
  </si>
  <si>
    <t>7.10% Central Government Securities 08/04/2034*</t>
  </si>
  <si>
    <t>7.37% Government Securities-23/10/2028*</t>
  </si>
  <si>
    <t>7.04% Central Government Securities 03/06/2029*</t>
  </si>
  <si>
    <t xml:space="preserve">                    MSCI ACWI TRI</t>
  </si>
  <si>
    <t>Annexure – A</t>
  </si>
  <si>
    <t xml:space="preserve">           NIFTY Dividend Opportunities 50 TRI</t>
  </si>
  <si>
    <t>Direct Plan - Half Yearly IDCW</t>
  </si>
  <si>
    <t>Regular Plan - Half Yearly IDCW</t>
  </si>
  <si>
    <t>Annexure- A</t>
  </si>
  <si>
    <t>i) Exposure to securities classified as below investment grade or default as on 31-Jan-2025</t>
  </si>
  <si>
    <t>% to AUM as on 31-Jan-2025</t>
  </si>
  <si>
    <t>DERIVATIVES DISCLOSURE</t>
  </si>
  <si>
    <t>Disclosure regarding Derivative positions pursuant to SEBI Circular no CIR/IMD/DF/11/2010 dated August18,2010</t>
  </si>
  <si>
    <t>DETAILS OF INVESTMENTS IN DERIVATIVE INSTRUMENTS</t>
  </si>
  <si>
    <t>A. Hedging Positions through Futures as on January 31,2025 :</t>
  </si>
  <si>
    <t>Scheme Name</t>
  </si>
  <si>
    <t>Underlying</t>
  </si>
  <si>
    <t>Long/Short</t>
  </si>
  <si>
    <t>Futures Price When Purchased</t>
  </si>
  <si>
    <t>Current Price of the contract</t>
  </si>
  <si>
    <t>Margin maintained in       (Rs in Lakhs)*</t>
  </si>
  <si>
    <t>Aarti Industries Ltd FEB-2025</t>
  </si>
  <si>
    <t>Short</t>
  </si>
  <si>
    <t>Adani Enterprises Ltd FEB-2025</t>
  </si>
  <si>
    <t>Aditya Birla Capital Ltd FEB-2025</t>
  </si>
  <si>
    <t>Aditya Birla Fashion and Retail Ltd  FEB-2025</t>
  </si>
  <si>
    <t>Aurobindo Pharma Ltd-Equ FEB-2025</t>
  </si>
  <si>
    <t>Axis Bank Ltd  FEB-2025</t>
  </si>
  <si>
    <t>Bajaj Finance Ltd FEB-2025</t>
  </si>
  <si>
    <t>Bajaj Finserv Ltd FEB-2025</t>
  </si>
  <si>
    <t>Bank of Baroda FEB-2025</t>
  </si>
  <si>
    <t>Bharat Electronics Ltd FEB-2025</t>
  </si>
  <si>
    <t>Bharti Airtel Ltd FEB-2025</t>
  </si>
  <si>
    <t>Canara Bank FEB-2025</t>
  </si>
  <si>
    <t>Cipla Ltd FEB-2025</t>
  </si>
  <si>
    <t>Coal India Ltd FEB-2025</t>
  </si>
  <si>
    <t>DLF Ltd FEB-2025</t>
  </si>
  <si>
    <t>Gujarat Ambuja Cement Co.Ltd FEB-2025</t>
  </si>
  <si>
    <t>Hindalco Industries Ltd FEB-2025</t>
  </si>
  <si>
    <t>ICICI Bank Ltd FEB-2025</t>
  </si>
  <si>
    <t>Indian Hotels Company Ltd FEB-2025</t>
  </si>
  <si>
    <t>Indian Oil Corporation Ltd FEB-2025</t>
  </si>
  <si>
    <t>Indus Towers Ltd FEB-2025</t>
  </si>
  <si>
    <t>IndusInd Bank Ltd FEB-2025</t>
  </si>
  <si>
    <t>ITC Ltd FEB-2025</t>
  </si>
  <si>
    <t>Kotak Mahindra Bank Ltd FEB-2025</t>
  </si>
  <si>
    <t>Larsen &amp; Toubro Ltd FEB-2025</t>
  </si>
  <si>
    <t>Mahindra &amp; Mahindra Ltd FEB-2025</t>
  </si>
  <si>
    <t>NTPC Ltd FEB-2025</t>
  </si>
  <si>
    <t>Punjab National Bank FEB-2025</t>
  </si>
  <si>
    <t>Reliance Industries Ltd FEB-2025</t>
  </si>
  <si>
    <t>SBI Life Insurance Company Ltd FEB-2025</t>
  </si>
  <si>
    <t>State Bank Of India Ltd FEB-2025</t>
  </si>
  <si>
    <t>Sun Pharmaceuticals Ltd FEB-2025</t>
  </si>
  <si>
    <t>TATA Consultancy Services Ltd FEB-2025</t>
  </si>
  <si>
    <t>Tata Motors Ltd FEB-2025</t>
  </si>
  <si>
    <t>TATA Power Co Ltd FEB-2025</t>
  </si>
  <si>
    <t>Tata Steel Ltd FEB-2025</t>
  </si>
  <si>
    <t>Titan Industries Ltd FEB-2025</t>
  </si>
  <si>
    <t>GAIL (India) Ltd FEB-2025</t>
  </si>
  <si>
    <t>Infosys Ltd FEB-2025</t>
  </si>
  <si>
    <t>Mahanagar Gas Ltd FEB-2025</t>
  </si>
  <si>
    <t>Cholamandalam Investment &amp; Finance Company Ltd FEB-2025</t>
  </si>
  <si>
    <t>Grasim Industries Ltd  FEB-2025</t>
  </si>
  <si>
    <t>HCL Technologies Ltd FEB-2025</t>
  </si>
  <si>
    <t>HDFC Life Insurance Company Ltd FEB-2025</t>
  </si>
  <si>
    <t>Hero Motocorp Ltd FEB-2025</t>
  </si>
  <si>
    <t>Hindustan Unilever Ltd FEB-2025</t>
  </si>
  <si>
    <t>Indus Towers Ltd (Prev name Bharti Infratel Ltd) FEB-2025</t>
  </si>
  <si>
    <t>Interglobe Aviation Ltd FEB-2025</t>
  </si>
  <si>
    <t>JSW Steel Ltd FEB-2025</t>
  </si>
  <si>
    <t>Lupin Ltd FEB-2025</t>
  </si>
  <si>
    <t>Maruti Suzuki India Ltd FEB-2025</t>
  </si>
  <si>
    <t>TVS Motor Company Ltd   FEB-2025</t>
  </si>
  <si>
    <t>United Spirits Ltd FEB-2025</t>
  </si>
  <si>
    <t>Voltas Ltd FEB-2025</t>
  </si>
  <si>
    <t>Sundaram Financial Opp Fund</t>
  </si>
  <si>
    <t>Bajaj Auto Ltd FEB-2025</t>
  </si>
  <si>
    <t>Eicher Motor Ltd FEB-2025</t>
  </si>
  <si>
    <t>Hindustan Aeronautics Ltd FEB-2025</t>
  </si>
  <si>
    <t xml:space="preserve">Total percentage of existing assets hedged through futures as a percentage of net assets </t>
  </si>
  <si>
    <t>%</t>
  </si>
  <si>
    <t>For the period ended January 31,2025 following were the hedging transactions through futures which have been squared off/ expired</t>
  </si>
  <si>
    <t>Total Number of contracts where futures were Bought</t>
  </si>
  <si>
    <t>Total Number of contracts where futures were Sold</t>
  </si>
  <si>
    <t>Gross Notional value of contracts where futures were bought                      (Rs. in Lakhs)</t>
  </si>
  <si>
    <t>Gross Notional value of contracts where futures were sold        (Rs. in Lakhs)</t>
  </si>
  <si>
    <t>Net Profit / (Loss) value on all contracts combined       (Rs. in lakhs)</t>
  </si>
  <si>
    <t>Sundaram Small cap Fund</t>
  </si>
  <si>
    <t>Sundaram Large and Midcap Fund</t>
  </si>
  <si>
    <t>B. Other than hedging positions through futures as on January 31,2025 :</t>
  </si>
  <si>
    <t>Margin maintained in       (Rs. in Lakhs) *</t>
  </si>
  <si>
    <t>Long</t>
  </si>
  <si>
    <t>Angel One Ltd FEB-2025</t>
  </si>
  <si>
    <t>KEI Industries Ltd FEB-2025</t>
  </si>
  <si>
    <t>Angel One Ltd  FEB-2025</t>
  </si>
  <si>
    <t>DELHIVERY Ltd FEB-2025</t>
  </si>
  <si>
    <t>FSN E–Commerce Ventures Ltd FEB-2025</t>
  </si>
  <si>
    <t>Total percentage of existing assets due to non-hedging positions as a percentage of net assets</t>
  </si>
  <si>
    <t>For the period ended January 31,2025 following were the non-hedging transactions through futures which have been squared off / expired</t>
  </si>
  <si>
    <t>Gross Notional value of contracts where futures were sold      ( Rs. in Lakhs)</t>
  </si>
  <si>
    <t>Net Profit / (Loss) value on all contracts combined      (Rs. in lakhs)</t>
  </si>
  <si>
    <t>C. Hedging Positions through Put Options as on January 31,2025 :</t>
  </si>
  <si>
    <t>Call/Put</t>
  </si>
  <si>
    <t>Number of Contracts</t>
  </si>
  <si>
    <t>Option Price when purchased</t>
  </si>
  <si>
    <t>Current Option Price</t>
  </si>
  <si>
    <t>Total % of existing assets hedged through Put Options</t>
  </si>
  <si>
    <t xml:space="preserve"> </t>
  </si>
  <si>
    <t>For the period ended  January 31,2025 , the following hedging transactions through options which have been already exercised/expired</t>
  </si>
  <si>
    <t>Total Number of contracts entered into</t>
  </si>
  <si>
    <t>Gross Notional value of contracts bought                      (Rs. in Lakhs)</t>
  </si>
  <si>
    <t>Gross Notional value of contracts  sold  (Rs. in Lakhs)</t>
  </si>
  <si>
    <t>Net Profit/(Loss) on all contracts 
(Rs. in Lakhs)</t>
  </si>
  <si>
    <t>D. Other than Hedging Positions through options as on January 31,2025 :</t>
  </si>
  <si>
    <t xml:space="preserve">Total Exposure through Options other than hedging as a percentage of net assets </t>
  </si>
  <si>
    <t>For the period ended January 31,2025 , the following non hedging transactions through options which have been already exercised/expired</t>
  </si>
  <si>
    <t>Gross Notional value of contracts  bought(Rs. in Lakhs)</t>
  </si>
  <si>
    <t>Gross Notional value of contracts  sold (Rs. in Lakhs)</t>
  </si>
  <si>
    <t>E. Hedging Positions through Swaps as on January 31,2025:</t>
  </si>
  <si>
    <t>Scheme name</t>
  </si>
  <si>
    <t>Swap Type</t>
  </si>
  <si>
    <t>Underlying Security</t>
  </si>
  <si>
    <t>Long Position</t>
  </si>
  <si>
    <t>Short Position</t>
  </si>
  <si>
    <t>Notional Value (Rs. in lacs.)</t>
  </si>
  <si>
    <t>Maturity date</t>
  </si>
  <si>
    <t>SUNDARAM ULTRA SHORT DURATION  FUND</t>
  </si>
  <si>
    <t>Fixed to Float</t>
  </si>
  <si>
    <t>9.20% Shriram Finance Ltd 22 05 2026</t>
  </si>
  <si>
    <t>Receiving Floating</t>
  </si>
  <si>
    <t>Pay Fixed</t>
  </si>
  <si>
    <t>F. Hedging Positions through Interest Rate Futures as on December 31,2024 :</t>
  </si>
  <si>
    <t xml:space="preserve">Futures Price
When Purchased </t>
  </si>
  <si>
    <t>Current Price of
the contract</t>
  </si>
  <si>
    <t>Margin maintained
in (Rs. in Lakhs)</t>
  </si>
  <si>
    <t>Total percentage of existing assets hedged through Interest Rate Futures a Percentage of net assets</t>
  </si>
  <si>
    <t>For the period ended January 31,2025 following were the hedging transactions through Interest Rate Futures which have been squared off/ expired</t>
  </si>
  <si>
    <t>For the period ended January 31,2025 following were the Non Hedging transactions through Interest Rate Futures which have been squared off/ expired</t>
  </si>
  <si>
    <t>* Note: Margin maintained denotes security specific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</si>
</sst>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_ * #,##0.00_ ;_ * \-#,##0.00_ ;_ * &quot;-&quot;??_ ;_ @_ "/>
    <numFmt numFmtId="165" formatCode="[$-1014009]General"/>
    <numFmt numFmtId="166" formatCode="[$-1014009]###0;\(###0\)"/>
    <numFmt numFmtId="167" formatCode="[$-1014009]###0.00;\(###0.00\)"/>
    <numFmt numFmtId="168" formatCode="[$-1014009]###0.00%;\(###0.00%\)"/>
    <numFmt numFmtId="169" formatCode="[$-1014009]#,##0.00\ %;\(#,##0.00\)"/>
    <numFmt numFmtId="170" formatCode="[$-1014009]#.0000"/>
    <numFmt numFmtId="171" formatCode="[$-1014009]#,##0.00%"/>
    <numFmt numFmtId="172" formatCode="[$-1014009]###0.0000;\(###0.0000\)"/>
    <numFmt numFmtId="173" formatCode="[$-1014009]#,##0.000000;\-#,##0.000000"/>
    <numFmt numFmtId="174" formatCode="_-* #,##0.00_-;\-* #,##0.00_-;_-* &quot;-&quot;??_-;_-@_-"/>
    <numFmt numFmtId="175" formatCode="[$-1014009]#,##0.00;\(#,##0.00\)"/>
    <numFmt numFmtId="176" formatCode="_(* #,##0_);_(* \(#,##0\);_(* &quot;-&quot;??_);_(@_)"/>
    <numFmt numFmtId="177" formatCode="[$-1014009]#,##0.0000;\(#,##0.0000\)"/>
    <numFmt numFmtId="178" formatCode="0.000"/>
    <numFmt numFmtId="179" formatCode="#,##0.000"/>
    <numFmt numFmtId="180" formatCode="0.000000000"/>
    <numFmt numFmtId="181" formatCode="#,##0.0000;\(#,##0.0000\)"/>
    <numFmt numFmtId="182" formatCode="_(* #,##0.000_);_(* \(#,##0.000\);_(* &quot;-&quot;??_);_(@_)"/>
    <numFmt numFmtId="183" formatCode="[$-409]d\-mmm\-yy;@"/>
  </numFmts>
  <fonts count="36" x14ac:knownFonts="1">
    <font>
      <sz val="10"/>
      <name val="Arial"/>
      <charset val="1"/>
    </font>
    <font>
      <sz val="11"/>
      <color theme="1"/>
      <name val="Aptos Narrow"/>
      <family val="2"/>
      <scheme val="minor"/>
    </font>
    <font>
      <sz val="11"/>
      <color theme="1"/>
      <name val="Aptos Narrow"/>
      <family val="2"/>
      <scheme val="minor"/>
    </font>
    <font>
      <sz val="11"/>
      <color theme="1"/>
      <name val="Aptos Narrow"/>
      <family val="2"/>
      <scheme val="minor"/>
    </font>
    <font>
      <b/>
      <sz val="11"/>
      <color indexed="8"/>
      <name val="Calibri"/>
      <family val="2"/>
    </font>
    <font>
      <sz val="10"/>
      <color indexed="8"/>
      <name val="Calibri"/>
      <family val="2"/>
    </font>
    <font>
      <b/>
      <sz val="10"/>
      <color indexed="8"/>
      <name val="Calibri"/>
      <family val="2"/>
    </font>
    <font>
      <b/>
      <i/>
      <sz val="10"/>
      <color indexed="8"/>
      <name val="Calibri"/>
      <family val="2"/>
    </font>
    <font>
      <b/>
      <sz val="9"/>
      <color indexed="8"/>
      <name val="Calibri"/>
      <family val="2"/>
    </font>
    <font>
      <sz val="10"/>
      <name val="Arial"/>
      <family val="2"/>
    </font>
    <font>
      <sz val="11"/>
      <color theme="1"/>
      <name val="Aptos Narrow"/>
      <family val="2"/>
      <scheme val="minor"/>
    </font>
    <font>
      <b/>
      <sz val="11"/>
      <color indexed="8"/>
      <name val="Calibri"/>
      <family val="2"/>
    </font>
    <font>
      <sz val="10"/>
      <color indexed="8"/>
      <name val="Calibri"/>
      <family val="2"/>
    </font>
    <font>
      <sz val="10"/>
      <name val="Arial"/>
      <family val="2"/>
    </font>
    <font>
      <u/>
      <sz val="10"/>
      <color theme="10"/>
      <name val="Arial"/>
      <family val="2"/>
    </font>
    <font>
      <b/>
      <i/>
      <sz val="10"/>
      <color indexed="8"/>
      <name val="Calibri"/>
      <family val="2"/>
    </font>
    <font>
      <b/>
      <sz val="10"/>
      <name val="Arial"/>
      <family val="2"/>
    </font>
    <font>
      <b/>
      <sz val="10"/>
      <color indexed="8"/>
      <name val="Calibri"/>
      <family val="2"/>
    </font>
    <font>
      <sz val="10"/>
      <name val="Calibri"/>
      <family val="2"/>
    </font>
    <font>
      <sz val="10"/>
      <color theme="1"/>
      <name val="Calibri"/>
      <family val="2"/>
    </font>
    <font>
      <b/>
      <sz val="10"/>
      <color theme="1"/>
      <name val="Calibri"/>
      <family val="2"/>
    </font>
    <font>
      <b/>
      <sz val="11"/>
      <name val="Aptos Narrow"/>
      <family val="2"/>
      <scheme val="minor"/>
    </font>
    <font>
      <sz val="11"/>
      <name val="Aptos Narrow"/>
      <family val="2"/>
      <scheme val="minor"/>
    </font>
    <font>
      <b/>
      <sz val="10"/>
      <name val="Calibri"/>
      <family val="2"/>
    </font>
    <font>
      <b/>
      <sz val="10"/>
      <color theme="1"/>
      <name val="Aptos Narrow"/>
      <family val="2"/>
      <scheme val="minor"/>
    </font>
    <font>
      <sz val="10"/>
      <name val="Aptos Narrow"/>
      <family val="2"/>
      <scheme val="minor"/>
    </font>
    <font>
      <sz val="10"/>
      <color theme="1"/>
      <name val="Aptos Narrow"/>
      <family val="2"/>
      <scheme val="minor"/>
    </font>
    <font>
      <u/>
      <sz val="11"/>
      <color rgb="FF002060"/>
      <name val="Aptos Narrow"/>
      <family val="2"/>
      <scheme val="minor"/>
    </font>
    <font>
      <u/>
      <sz val="11"/>
      <color theme="10"/>
      <name val="Aptos Narrow"/>
      <family val="2"/>
      <scheme val="minor"/>
    </font>
    <font>
      <b/>
      <sz val="10"/>
      <name val="Aptos Narrow"/>
      <family val="2"/>
      <scheme val="minor"/>
    </font>
    <font>
      <sz val="11"/>
      <color indexed="8"/>
      <name val="Calibri"/>
      <family val="2"/>
    </font>
    <font>
      <b/>
      <sz val="10"/>
      <color theme="1"/>
      <name val="Arial"/>
      <family val="2"/>
    </font>
    <font>
      <b/>
      <sz val="10"/>
      <color theme="1"/>
      <name val="Tahoma"/>
      <family val="2"/>
    </font>
    <font>
      <b/>
      <sz val="10"/>
      <color rgb="FF000000"/>
      <name val="Tahoma"/>
      <family val="2"/>
    </font>
    <font>
      <sz val="10"/>
      <color theme="1"/>
      <name val="Tahoma"/>
      <family val="2"/>
    </font>
    <font>
      <sz val="10"/>
      <color rgb="FF000000"/>
      <name val="Tahoma"/>
      <family val="2"/>
    </font>
  </fonts>
  <fills count="3">
    <fill>
      <patternFill patternType="none"/>
    </fill>
    <fill>
      <patternFill patternType="gray125"/>
    </fill>
    <fill>
      <patternFill patternType="solid">
        <fgColor indexed="9"/>
      </patternFill>
    </fill>
  </fills>
  <borders count="21">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s>
  <cellStyleXfs count="25">
    <xf numFmtId="0" fontId="0" fillId="0" borderId="0">
      <alignment wrapText="1"/>
    </xf>
    <xf numFmtId="164" fontId="9" fillId="0" borderId="0" applyFont="0" applyFill="0" applyBorder="0" applyAlignment="0" applyProtection="0"/>
    <xf numFmtId="9" fontId="9" fillId="0" borderId="0" applyFont="0" applyFill="0" applyBorder="0" applyAlignment="0" applyProtection="0"/>
    <xf numFmtId="0" fontId="10" fillId="0" borderId="0"/>
    <xf numFmtId="0" fontId="13" fillId="0" borderId="0">
      <alignment wrapText="1"/>
    </xf>
    <xf numFmtId="0" fontId="14" fillId="0" borderId="0" applyNumberFormat="0" applyFill="0" applyBorder="0" applyAlignment="0" applyProtection="0">
      <alignment wrapText="1"/>
    </xf>
    <xf numFmtId="0" fontId="13" fillId="0" borderId="0">
      <alignment wrapText="1"/>
    </xf>
    <xf numFmtId="164" fontId="10" fillId="0" borderId="0" applyFont="0" applyFill="0" applyBorder="0" applyAlignment="0" applyProtection="0"/>
    <xf numFmtId="174" fontId="9" fillId="0" borderId="0" applyFont="0" applyFill="0" applyBorder="0" applyAlignment="0" applyProtection="0"/>
    <xf numFmtId="0" fontId="10" fillId="0" borderId="0"/>
    <xf numFmtId="0" fontId="13" fillId="0" borderId="0">
      <alignment wrapText="1"/>
    </xf>
    <xf numFmtId="164" fontId="10"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3" fillId="0" borderId="0"/>
    <xf numFmtId="164" fontId="13" fillId="0" borderId="0" applyFont="0" applyFill="0" applyBorder="0" applyAlignment="0" applyProtection="0"/>
    <xf numFmtId="9" fontId="13" fillId="0" borderId="0" applyFont="0" applyFill="0" applyBorder="0" applyAlignment="0" applyProtection="0"/>
    <xf numFmtId="0" fontId="2" fillId="0" borderId="0"/>
    <xf numFmtId="164" fontId="2" fillId="0" borderId="0" applyFont="0" applyFill="0" applyBorder="0" applyAlignment="0" applyProtection="0"/>
    <xf numFmtId="174" fontId="13"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13" fillId="0" borderId="0"/>
    <xf numFmtId="43" fontId="30" fillId="0" borderId="0" applyFont="0" applyFill="0" applyBorder="0" applyAlignment="0" applyProtection="0"/>
  </cellStyleXfs>
  <cellXfs count="266">
    <xf numFmtId="0" fontId="0" fillId="0" borderId="0" xfId="0">
      <alignment wrapText="1"/>
    </xf>
    <xf numFmtId="10" fontId="19" fillId="0" borderId="7" xfId="13" applyNumberFormat="1" applyFont="1" applyFill="1" applyBorder="1" applyAlignment="1">
      <alignment vertical="center"/>
    </xf>
    <xf numFmtId="176" fontId="19" fillId="0" borderId="0" xfId="12" applyNumberFormat="1" applyFont="1" applyFill="1"/>
    <xf numFmtId="164" fontId="19" fillId="0" borderId="0" xfId="12" applyFont="1" applyFill="1"/>
    <xf numFmtId="4" fontId="18" fillId="0" borderId="7" xfId="7" applyNumberFormat="1" applyFont="1" applyFill="1" applyBorder="1" applyAlignment="1">
      <alignment horizontal="center" vertical="center"/>
    </xf>
    <xf numFmtId="10" fontId="18" fillId="0" borderId="7" xfId="7" applyNumberFormat="1" applyFont="1" applyFill="1" applyBorder="1" applyAlignment="1">
      <alignment horizontal="center" vertical="center"/>
    </xf>
    <xf numFmtId="4" fontId="25" fillId="0" borderId="7" xfId="7" applyNumberFormat="1" applyFont="1" applyFill="1" applyBorder="1" applyAlignment="1">
      <alignment horizontal="center" vertical="center"/>
    </xf>
    <xf numFmtId="10" fontId="25" fillId="0" borderId="7" xfId="7" applyNumberFormat="1" applyFont="1" applyFill="1" applyBorder="1" applyAlignment="1">
      <alignment horizontal="center" vertical="center"/>
    </xf>
    <xf numFmtId="176" fontId="26" fillId="0" borderId="0" xfId="12" applyNumberFormat="1" applyFont="1" applyFill="1"/>
    <xf numFmtId="164" fontId="26" fillId="0" borderId="0" xfId="12" applyFont="1" applyFill="1"/>
    <xf numFmtId="164" fontId="25" fillId="0" borderId="12" xfId="7" applyFont="1" applyFill="1" applyBorder="1" applyAlignment="1">
      <alignment horizontal="right" vertical="center"/>
    </xf>
    <xf numFmtId="164" fontId="25" fillId="0" borderId="12" xfId="7" applyFont="1" applyFill="1" applyBorder="1" applyAlignment="1">
      <alignment horizontal="center" vertical="center"/>
    </xf>
    <xf numFmtId="0" fontId="21" fillId="0" borderId="16" xfId="14" applyFont="1" applyBorder="1" applyAlignment="1">
      <alignment horizontal="center" vertical="center"/>
    </xf>
    <xf numFmtId="0" fontId="22" fillId="0" borderId="0" xfId="4" applyFont="1">
      <alignment wrapText="1"/>
    </xf>
    <xf numFmtId="0" fontId="22" fillId="0" borderId="16" xfId="4" applyFont="1" applyBorder="1" applyAlignment="1">
      <alignment horizontal="center" wrapText="1"/>
    </xf>
    <xf numFmtId="0" fontId="28" fillId="0" borderId="16" xfId="5" applyFont="1" applyBorder="1" applyAlignment="1"/>
    <xf numFmtId="0" fontId="22" fillId="0" borderId="16" xfId="4" applyFont="1" applyBorder="1" applyAlignment="1"/>
    <xf numFmtId="0" fontId="14" fillId="0" borderId="16" xfId="5" applyBorder="1" applyAlignment="1"/>
    <xf numFmtId="0" fontId="27" fillId="0" borderId="0" xfId="5" applyFont="1" applyFill="1" applyBorder="1" applyAlignment="1">
      <alignment horizontal="center" vertical="center" wrapText="1"/>
    </xf>
    <xf numFmtId="0" fontId="4" fillId="0" borderId="7" xfId="0" applyFont="1" applyBorder="1" applyAlignment="1">
      <alignment horizontal="center" vertical="center" wrapText="1" readingOrder="1"/>
    </xf>
    <xf numFmtId="0" fontId="11" fillId="0" borderId="7" xfId="0" applyFont="1" applyBorder="1" applyAlignment="1">
      <alignment horizontal="center" vertical="center" wrapText="1" readingOrder="1"/>
    </xf>
    <xf numFmtId="0" fontId="0" fillId="0" borderId="0" xfId="0" applyAlignment="1">
      <alignment horizontal="center" vertical="center" wrapText="1"/>
    </xf>
    <xf numFmtId="0" fontId="5" fillId="0" borderId="8" xfId="0" applyFont="1" applyBorder="1" applyAlignment="1">
      <alignment horizontal="right" vertical="top" wrapText="1" readingOrder="1"/>
    </xf>
    <xf numFmtId="0" fontId="6" fillId="0" borderId="8" xfId="0" applyFont="1" applyBorder="1" applyAlignment="1">
      <alignment horizontal="left" vertical="center" wrapText="1" readingOrder="1"/>
    </xf>
    <xf numFmtId="167" fontId="12" fillId="0" borderId="7" xfId="0" applyNumberFormat="1" applyFont="1" applyBorder="1" applyAlignment="1">
      <alignment horizontal="right" vertical="center" wrapText="1" readingOrder="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5" fontId="5" fillId="0" borderId="4"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166" fontId="5"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8" fontId="5" fillId="0" borderId="4" xfId="0" applyNumberFormat="1" applyFont="1" applyBorder="1" applyAlignment="1">
      <alignment horizontal="right" vertical="center" wrapText="1" readingOrder="1"/>
    </xf>
    <xf numFmtId="167" fontId="6" fillId="0" borderId="4" xfId="0" applyNumberFormat="1" applyFont="1" applyBorder="1" applyAlignment="1">
      <alignment horizontal="right" vertical="center" wrapText="1" readingOrder="1"/>
    </xf>
    <xf numFmtId="168" fontId="6"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6" fillId="0" borderId="4" xfId="0" applyFont="1" applyBorder="1" applyAlignment="1">
      <alignment horizontal="right" vertical="center" wrapText="1" readingOrder="1"/>
    </xf>
    <xf numFmtId="0" fontId="12" fillId="0" borderId="4" xfId="0" applyFont="1" applyBorder="1" applyAlignment="1">
      <alignment horizontal="left" vertical="center" wrapText="1" readingOrder="1"/>
    </xf>
    <xf numFmtId="0" fontId="5" fillId="0" borderId="4" xfId="0" applyFont="1" applyBorder="1" applyAlignment="1">
      <alignment horizontal="right" vertical="center" wrapText="1" readingOrder="1"/>
    </xf>
    <xf numFmtId="169" fontId="6" fillId="0" borderId="4" xfId="0" applyNumberFormat="1" applyFont="1" applyBorder="1" applyAlignment="1">
      <alignment horizontal="right" vertical="center" wrapText="1" readingOrder="1"/>
    </xf>
    <xf numFmtId="0" fontId="7" fillId="0" borderId="5" xfId="0" applyFont="1" applyBorder="1" applyAlignment="1">
      <alignment horizontal="left" vertical="center" wrapText="1" readingOrder="1"/>
    </xf>
    <xf numFmtId="0" fontId="7" fillId="0" borderId="5" xfId="0" applyFont="1" applyBorder="1" applyAlignment="1">
      <alignment horizontal="right" vertical="center" wrapText="1" readingOrder="1"/>
    </xf>
    <xf numFmtId="0" fontId="15" fillId="0" borderId="0" xfId="0" applyFont="1" applyAlignment="1">
      <alignment horizontal="left" vertical="center" wrapText="1" readingOrder="1"/>
    </xf>
    <xf numFmtId="0" fontId="12" fillId="0" borderId="0" xfId="0" applyFont="1" applyAlignment="1">
      <alignment horizontal="left" vertical="center" wrapText="1" readingOrder="1"/>
    </xf>
    <xf numFmtId="0" fontId="16" fillId="0" borderId="0" xfId="0" applyFont="1" applyAlignment="1">
      <alignment horizontal="center" vertical="center" wrapText="1"/>
    </xf>
    <xf numFmtId="0" fontId="15" fillId="0" borderId="0" xfId="3" applyFont="1" applyAlignment="1">
      <alignment horizontal="left" vertical="center" wrapText="1" readingOrder="1"/>
    </xf>
    <xf numFmtId="0" fontId="10" fillId="0" borderId="0" xfId="3" applyAlignment="1">
      <alignment wrapText="1"/>
    </xf>
    <xf numFmtId="0" fontId="7" fillId="0" borderId="0" xfId="0" applyFont="1" applyAlignment="1">
      <alignment horizontal="left" vertical="center" wrapText="1" readingOrder="1"/>
    </xf>
    <xf numFmtId="0" fontId="7" fillId="0" borderId="0" xfId="0" applyFont="1" applyAlignment="1">
      <alignment horizontal="right" vertical="center" wrapText="1" readingOrder="1"/>
    </xf>
    <xf numFmtId="0" fontId="7" fillId="0" borderId="6" xfId="0" applyFont="1" applyBorder="1" applyAlignment="1">
      <alignment horizontal="right" vertical="center" wrapText="1" readingOrder="1"/>
    </xf>
    <xf numFmtId="0" fontId="17" fillId="0" borderId="4" xfId="0" applyFont="1" applyBorder="1" applyAlignment="1">
      <alignment horizontal="left" vertical="center" wrapText="1" readingOrder="1"/>
    </xf>
    <xf numFmtId="0" fontId="15" fillId="0" borderId="6" xfId="0" applyFont="1" applyBorder="1" applyAlignment="1">
      <alignment horizontal="right" vertical="center" wrapText="1" readingOrder="1"/>
    </xf>
    <xf numFmtId="0" fontId="15" fillId="0" borderId="0" xfId="0" applyFont="1" applyAlignment="1">
      <alignment horizontal="right" vertical="center" wrapText="1" readingOrder="1"/>
    </xf>
    <xf numFmtId="0" fontId="12" fillId="0" borderId="0" xfId="0" applyFont="1" applyAlignment="1">
      <alignment horizontal="right" vertical="top" wrapText="1" readingOrder="1"/>
    </xf>
    <xf numFmtId="0" fontId="17" fillId="0" borderId="4" xfId="0" applyFont="1" applyBorder="1" applyAlignment="1">
      <alignment horizontal="right" vertical="top" wrapText="1" readingOrder="1"/>
    </xf>
    <xf numFmtId="0" fontId="17" fillId="0" borderId="4" xfId="0" applyFont="1" applyBorder="1" applyAlignment="1">
      <alignment horizontal="left" vertical="top" wrapText="1" readingOrder="1"/>
    </xf>
    <xf numFmtId="15" fontId="17" fillId="0" borderId="4" xfId="0" applyNumberFormat="1" applyFont="1" applyBorder="1" applyAlignment="1">
      <alignment horizontal="right" vertical="top" wrapText="1" readingOrder="1"/>
    </xf>
    <xf numFmtId="0" fontId="5" fillId="0" borderId="0" xfId="0" applyFont="1" applyAlignment="1">
      <alignment horizontal="right" vertical="top" wrapText="1" readingOrder="1"/>
    </xf>
    <xf numFmtId="170" fontId="5" fillId="0" borderId="4"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12" fillId="0" borderId="5" xfId="0" applyFont="1" applyBorder="1" applyAlignment="1">
      <alignment horizontal="left" vertical="center" wrapText="1" readingOrder="1"/>
    </xf>
    <xf numFmtId="0" fontId="17" fillId="0" borderId="5" xfId="0" applyFont="1" applyBorder="1" applyAlignment="1">
      <alignment horizontal="left" vertical="center" wrapText="1" readingOrder="1"/>
    </xf>
    <xf numFmtId="0" fontId="12" fillId="0" borderId="0" xfId="0" applyFont="1" applyAlignment="1">
      <alignment horizontal="right" vertical="center" wrapText="1" readingOrder="1"/>
    </xf>
    <xf numFmtId="0" fontId="12" fillId="0" borderId="6" xfId="0" applyFont="1" applyBorder="1" applyAlignment="1">
      <alignment horizontal="right" vertical="top" wrapText="1" readingOrder="1"/>
    </xf>
    <xf numFmtId="171" fontId="17" fillId="0" borderId="4" xfId="0" applyNumberFormat="1" applyFont="1" applyBorder="1" applyAlignment="1">
      <alignment horizontal="left" vertical="center" wrapText="1" readingOrder="1"/>
    </xf>
    <xf numFmtId="0" fontId="16" fillId="0" borderId="0" xfId="0" applyFont="1" applyAlignment="1"/>
    <xf numFmtId="0" fontId="0" fillId="0" borderId="0" xfId="0" applyAlignment="1"/>
    <xf numFmtId="0" fontId="4" fillId="0" borderId="16" xfId="0" applyFont="1" applyBorder="1" applyAlignment="1">
      <alignment horizontal="center" vertical="center" wrapText="1" readingOrder="1"/>
    </xf>
    <xf numFmtId="0" fontId="11" fillId="0" borderId="16" xfId="0" applyFont="1" applyBorder="1" applyAlignment="1">
      <alignment horizontal="center" vertical="center" wrapText="1" readingOrder="1"/>
    </xf>
    <xf numFmtId="172" fontId="5" fillId="0" borderId="4" xfId="0" applyNumberFormat="1" applyFont="1" applyBorder="1" applyAlignment="1">
      <alignment horizontal="right" vertical="center" wrapText="1" readingOrder="1"/>
    </xf>
    <xf numFmtId="0" fontId="12" fillId="0" borderId="0" xfId="4" applyFont="1" applyAlignment="1">
      <alignment horizontal="right" vertical="top" wrapText="1" readingOrder="1"/>
    </xf>
    <xf numFmtId="0" fontId="13" fillId="0" borderId="0" xfId="4">
      <alignment wrapText="1"/>
    </xf>
    <xf numFmtId="0" fontId="12" fillId="0" borderId="0" xfId="4" applyFont="1" applyAlignment="1">
      <alignment horizontal="left" vertical="center" wrapText="1" readingOrder="1"/>
    </xf>
    <xf numFmtId="0" fontId="0" fillId="0" borderId="0" xfId="0" applyAlignment="1">
      <alignment horizontal="center" vertical="top" readingOrder="1"/>
    </xf>
    <xf numFmtId="0" fontId="15" fillId="0" borderId="4" xfId="0" applyFont="1" applyBorder="1" applyAlignment="1">
      <alignment horizontal="right" vertical="center" wrapText="1" readingOrder="1"/>
    </xf>
    <xf numFmtId="0" fontId="12" fillId="0" borderId="4" xfId="0" applyFont="1" applyBorder="1" applyAlignment="1">
      <alignment horizontal="right" vertical="top" wrapText="1" readingOrder="1"/>
    </xf>
    <xf numFmtId="0" fontId="17" fillId="0" borderId="4" xfId="0" applyFont="1" applyBorder="1" applyAlignment="1">
      <alignment horizontal="right" vertical="center" wrapText="1" readingOrder="1"/>
    </xf>
    <xf numFmtId="168" fontId="17" fillId="0" borderId="4" xfId="0" applyNumberFormat="1" applyFont="1" applyBorder="1" applyAlignment="1">
      <alignment horizontal="right" vertical="center" wrapText="1" readingOrder="1"/>
    </xf>
    <xf numFmtId="165" fontId="12" fillId="0" borderId="4" xfId="0" applyNumberFormat="1" applyFont="1" applyBorder="1" applyAlignment="1">
      <alignment horizontal="right" vertical="center" wrapText="1" readingOrder="1"/>
    </xf>
    <xf numFmtId="166" fontId="12" fillId="0" borderId="4" xfId="0" applyNumberFormat="1" applyFont="1" applyBorder="1" applyAlignment="1">
      <alignment horizontal="right" vertical="center" wrapText="1" readingOrder="1"/>
    </xf>
    <xf numFmtId="167" fontId="12" fillId="0" borderId="4" xfId="0" applyNumberFormat="1" applyFont="1" applyBorder="1" applyAlignment="1">
      <alignment horizontal="right" vertical="center" wrapText="1" readingOrder="1"/>
    </xf>
    <xf numFmtId="168" fontId="12" fillId="0" borderId="4" xfId="0" applyNumberFormat="1" applyFont="1" applyBorder="1" applyAlignment="1">
      <alignment horizontal="right" vertical="center" wrapText="1" readingOrder="1"/>
    </xf>
    <xf numFmtId="167" fontId="17" fillId="0" borderId="4" xfId="0" applyNumberFormat="1" applyFont="1" applyBorder="1" applyAlignment="1">
      <alignment horizontal="right" vertical="center" wrapText="1" readingOrder="1"/>
    </xf>
    <xf numFmtId="0" fontId="8" fillId="0" borderId="4" xfId="0" applyFont="1" applyBorder="1" applyAlignment="1">
      <alignment horizontal="left" vertical="center" wrapText="1" readingOrder="1"/>
    </xf>
    <xf numFmtId="0" fontId="8" fillId="0" borderId="4" xfId="0" applyFont="1" applyBorder="1" applyAlignment="1">
      <alignment horizontal="right" vertical="center" wrapText="1" readingOrder="1"/>
    </xf>
    <xf numFmtId="173" fontId="5" fillId="0" borderId="4" xfId="0" applyNumberFormat="1"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6" fillId="0" borderId="5" xfId="0" applyFont="1" applyBorder="1" applyAlignment="1">
      <alignment horizontal="left" vertical="center" wrapText="1" readingOrder="1"/>
    </xf>
    <xf numFmtId="0" fontId="18" fillId="0" borderId="0" xfId="0" applyFont="1">
      <alignment wrapText="1"/>
    </xf>
    <xf numFmtId="0" fontId="19" fillId="0" borderId="0" xfId="0" applyFont="1" applyAlignment="1">
      <alignment vertical="center"/>
    </xf>
    <xf numFmtId="0" fontId="18" fillId="0" borderId="0" xfId="0" applyFont="1" applyAlignment="1">
      <alignment vertical="center" wrapText="1"/>
    </xf>
    <xf numFmtId="0" fontId="20" fillId="0" borderId="7" xfId="0" applyFont="1" applyBorder="1" applyAlignment="1">
      <alignment horizontal="center" vertical="center" wrapText="1"/>
    </xf>
    <xf numFmtId="0" fontId="18" fillId="0" borderId="7" xfId="0" applyFont="1" applyBorder="1" applyAlignment="1">
      <alignment vertical="center" wrapText="1"/>
    </xf>
    <xf numFmtId="0" fontId="18" fillId="0" borderId="7" xfId="0" applyFont="1" applyBorder="1" applyAlignment="1">
      <alignment vertical="center"/>
    </xf>
    <xf numFmtId="2" fontId="18" fillId="0" borderId="7" xfId="0" applyNumberFormat="1" applyFont="1" applyBorder="1" applyAlignment="1">
      <alignment vertical="center"/>
    </xf>
    <xf numFmtId="4" fontId="18" fillId="0" borderId="7" xfId="0" applyNumberFormat="1" applyFont="1" applyBorder="1" applyAlignment="1">
      <alignment vertical="center"/>
    </xf>
    <xf numFmtId="0" fontId="20" fillId="0" borderId="7" xfId="3" applyFont="1" applyBorder="1" applyAlignment="1">
      <alignment horizontal="center" vertical="center"/>
    </xf>
    <xf numFmtId="0" fontId="19" fillId="0" borderId="7" xfId="3" applyFont="1" applyBorder="1" applyAlignment="1">
      <alignment vertical="center"/>
    </xf>
    <xf numFmtId="0" fontId="19" fillId="0" borderId="7" xfId="3" applyFont="1" applyBorder="1" applyAlignment="1">
      <alignment vertical="center" wrapText="1"/>
    </xf>
    <xf numFmtId="0" fontId="20" fillId="0" borderId="7" xfId="3" applyFont="1" applyBorder="1" applyAlignment="1">
      <alignment horizontal="center" vertical="center" wrapText="1"/>
    </xf>
    <xf numFmtId="0" fontId="21" fillId="0" borderId="0" xfId="4" applyFont="1" applyAlignment="1">
      <alignment horizontal="center" vertical="center"/>
    </xf>
    <xf numFmtId="0" fontId="19" fillId="0" borderId="7" xfId="3" applyFont="1" applyBorder="1" applyAlignment="1">
      <alignment horizontal="left" vertical="center"/>
    </xf>
    <xf numFmtId="2" fontId="19" fillId="0" borderId="7" xfId="3" applyNumberFormat="1" applyFont="1" applyBorder="1" applyAlignment="1">
      <alignment horizontal="right" vertical="center" wrapText="1"/>
    </xf>
    <xf numFmtId="4" fontId="19" fillId="0" borderId="7" xfId="3" applyNumberFormat="1" applyFont="1" applyBorder="1" applyAlignment="1">
      <alignment horizontal="right" vertical="center"/>
    </xf>
    <xf numFmtId="10" fontId="19" fillId="0" borderId="7" xfId="13" applyNumberFormat="1" applyFont="1" applyFill="1" applyBorder="1" applyAlignment="1">
      <alignment vertical="center" wrapText="1"/>
    </xf>
    <xf numFmtId="4" fontId="22" fillId="0" borderId="0" xfId="3" applyNumberFormat="1" applyFont="1" applyAlignment="1">
      <alignment vertical="center"/>
    </xf>
    <xf numFmtId="0" fontId="18" fillId="0" borderId="7" xfId="0" applyFont="1" applyBorder="1" applyAlignment="1">
      <alignment horizontal="justify" vertical="center"/>
    </xf>
    <xf numFmtId="0" fontId="18" fillId="0" borderId="7" xfId="0" applyFont="1" applyBorder="1" applyAlignment="1">
      <alignment horizontal="justify" vertical="center" wrapText="1"/>
    </xf>
    <xf numFmtId="175" fontId="17" fillId="0" borderId="4" xfId="0" applyNumberFormat="1" applyFont="1" applyBorder="1" applyAlignment="1">
      <alignment horizontal="left" vertical="center" wrapText="1" readingOrder="1"/>
    </xf>
    <xf numFmtId="0" fontId="23" fillId="0" borderId="7" xfId="0" applyFont="1" applyBorder="1" applyAlignment="1">
      <alignment horizontal="justify" vertical="center" wrapText="1"/>
    </xf>
    <xf numFmtId="14" fontId="18" fillId="0" borderId="7" xfId="0" quotePrefix="1" applyNumberFormat="1" applyFont="1" applyBorder="1" applyAlignment="1">
      <alignment horizontal="justify" vertical="center" wrapText="1"/>
    </xf>
    <xf numFmtId="0" fontId="17" fillId="0" borderId="4" xfId="6" applyFont="1" applyBorder="1" applyAlignment="1">
      <alignment horizontal="left" vertical="center" wrapText="1" readingOrder="1"/>
    </xf>
    <xf numFmtId="0" fontId="0" fillId="0" borderId="0" xfId="0" applyAlignment="1">
      <alignment vertical="center" wrapText="1"/>
    </xf>
    <xf numFmtId="0" fontId="19" fillId="0" borderId="0" xfId="0" applyFont="1" applyAlignment="1"/>
    <xf numFmtId="0" fontId="18" fillId="0" borderId="7" xfId="0" applyFont="1" applyBorder="1">
      <alignment wrapText="1"/>
    </xf>
    <xf numFmtId="168" fontId="18" fillId="0" borderId="4" xfId="0" applyNumberFormat="1" applyFont="1" applyBorder="1" applyAlignment="1">
      <alignment horizontal="right" vertical="center" wrapText="1" readingOrder="1"/>
    </xf>
    <xf numFmtId="0" fontId="15" fillId="0" borderId="4" xfId="0" applyFont="1" applyBorder="1" applyAlignment="1">
      <alignment horizontal="left" vertical="center" wrapText="1" readingOrder="1"/>
    </xf>
    <xf numFmtId="0" fontId="20" fillId="0" borderId="7" xfId="0" applyFont="1" applyBorder="1" applyAlignment="1">
      <alignment horizontal="left" wrapText="1"/>
    </xf>
    <xf numFmtId="0" fontId="20" fillId="0" borderId="7" xfId="0" applyFont="1" applyBorder="1" applyAlignment="1">
      <alignment horizontal="center" wrapText="1"/>
    </xf>
    <xf numFmtId="0" fontId="18" fillId="0" borderId="7" xfId="0" applyFont="1" applyBorder="1" applyAlignment="1">
      <alignment horizontal="left" vertical="center" wrapText="1"/>
    </xf>
    <xf numFmtId="0" fontId="18" fillId="0" borderId="7" xfId="0" applyFont="1" applyBorder="1" applyAlignment="1">
      <alignment horizontal="center" vertical="center"/>
    </xf>
    <xf numFmtId="4" fontId="18" fillId="0" borderId="7" xfId="0" applyNumberFormat="1" applyFont="1" applyBorder="1" applyAlignment="1">
      <alignment horizontal="center" vertical="center"/>
    </xf>
    <xf numFmtId="0" fontId="17" fillId="0" borderId="15" xfId="0" applyFont="1" applyBorder="1" applyAlignment="1">
      <alignment horizontal="left" vertical="center" wrapText="1" readingOrder="1"/>
    </xf>
    <xf numFmtId="0" fontId="18" fillId="0" borderId="0" xfId="0" applyFont="1" applyAlignment="1"/>
    <xf numFmtId="0" fontId="24" fillId="0" borderId="7" xfId="0" applyFont="1" applyBorder="1" applyAlignment="1">
      <alignment horizontal="center" vertical="center" wrapText="1"/>
    </xf>
    <xf numFmtId="0" fontId="25" fillId="0" borderId="7" xfId="0" applyFont="1" applyBorder="1" applyAlignment="1">
      <alignment horizontal="left" vertical="center"/>
    </xf>
    <xf numFmtId="0" fontId="25" fillId="0" borderId="7" xfId="0" applyFont="1" applyBorder="1" applyAlignment="1">
      <alignment horizontal="center" vertical="center"/>
    </xf>
    <xf numFmtId="4" fontId="25" fillId="0" borderId="7" xfId="0" applyNumberFormat="1" applyFont="1" applyBorder="1" applyAlignment="1">
      <alignment horizontal="center" vertical="center"/>
    </xf>
    <xf numFmtId="0" fontId="17" fillId="0" borderId="4" xfId="0" applyFont="1" applyBorder="1" applyAlignment="1">
      <alignment horizontal="left" vertical="center" readingOrder="1"/>
    </xf>
    <xf numFmtId="0" fontId="26" fillId="0" borderId="0" xfId="0" applyFont="1" applyAlignment="1"/>
    <xf numFmtId="0" fontId="24" fillId="0" borderId="12" xfId="0" applyFont="1" applyBorder="1" applyAlignment="1">
      <alignment horizontal="center" wrapText="1"/>
    </xf>
    <xf numFmtId="0" fontId="25" fillId="0" borderId="12" xfId="0" applyFont="1" applyBorder="1" applyAlignment="1">
      <alignment horizontal="left" vertical="center"/>
    </xf>
    <xf numFmtId="0" fontId="25" fillId="0" borderId="12" xfId="0" applyFont="1" applyBorder="1" applyAlignment="1">
      <alignment horizontal="center" vertical="center"/>
    </xf>
    <xf numFmtId="4" fontId="25" fillId="0" borderId="12" xfId="0" applyNumberFormat="1" applyFont="1" applyBorder="1" applyAlignment="1">
      <alignment horizontal="right" vertical="center"/>
    </xf>
    <xf numFmtId="167" fontId="17" fillId="0" borderId="4" xfId="0" applyNumberFormat="1" applyFont="1" applyBorder="1" applyAlignment="1">
      <alignment horizontal="left" vertical="center" wrapText="1" readingOrder="1"/>
    </xf>
    <xf numFmtId="0" fontId="13" fillId="0" borderId="0" xfId="0" applyFont="1" applyAlignment="1"/>
    <xf numFmtId="164" fontId="5" fillId="0" borderId="4" xfId="12" applyFont="1" applyFill="1" applyBorder="1" applyAlignment="1">
      <alignment horizontal="right" vertical="center" wrapText="1" readingOrder="1"/>
    </xf>
    <xf numFmtId="0" fontId="18" fillId="0" borderId="7" xfId="0" applyFont="1" applyBorder="1" applyAlignment="1">
      <alignment horizontal="center" vertical="center" wrapText="1"/>
    </xf>
    <xf numFmtId="0" fontId="25" fillId="0" borderId="0" xfId="22" applyFont="1"/>
    <xf numFmtId="0" fontId="29" fillId="0" borderId="0" xfId="22" applyFont="1"/>
    <xf numFmtId="0" fontId="29" fillId="0" borderId="16" xfId="22" applyFont="1" applyBorder="1" applyAlignment="1">
      <alignment horizontal="center" vertical="top"/>
    </xf>
    <xf numFmtId="0" fontId="29" fillId="0" borderId="16" xfId="22" applyFont="1" applyBorder="1" applyAlignment="1">
      <alignment horizontal="center" vertical="top" wrapText="1"/>
    </xf>
    <xf numFmtId="0" fontId="25" fillId="0" borderId="16" xfId="22" applyFont="1" applyBorder="1" applyAlignment="1">
      <alignment horizontal="left" vertical="top"/>
    </xf>
    <xf numFmtId="0" fontId="25" fillId="0" borderId="16" xfId="22" applyFont="1" applyBorder="1" applyAlignment="1">
      <alignment horizontal="center" vertical="top"/>
    </xf>
    <xf numFmtId="175" fontId="12" fillId="2" borderId="15" xfId="23" applyNumberFormat="1" applyFont="1" applyFill="1" applyBorder="1" applyAlignment="1">
      <alignment horizontal="right" vertical="center" wrapText="1" readingOrder="1"/>
    </xf>
    <xf numFmtId="2" fontId="12" fillId="2" borderId="15" xfId="23" applyNumberFormat="1" applyFont="1" applyFill="1" applyBorder="1" applyAlignment="1">
      <alignment horizontal="right" vertical="center" wrapText="1" readingOrder="1"/>
    </xf>
    <xf numFmtId="2" fontId="25" fillId="0" borderId="16" xfId="22" applyNumberFormat="1" applyFont="1" applyBorder="1" applyAlignment="1">
      <alignment horizontal="right" vertical="top" wrapText="1"/>
    </xf>
    <xf numFmtId="0" fontId="12" fillId="2" borderId="8" xfId="22" applyFont="1" applyFill="1" applyBorder="1" applyAlignment="1">
      <alignment horizontal="left" vertical="center" readingOrder="1"/>
    </xf>
    <xf numFmtId="177" fontId="12" fillId="2" borderId="15" xfId="23" applyNumberFormat="1" applyFont="1" applyFill="1" applyBorder="1" applyAlignment="1">
      <alignment horizontal="right" vertical="center" wrapText="1" readingOrder="1"/>
    </xf>
    <xf numFmtId="178" fontId="25" fillId="0" borderId="16" xfId="22" applyNumberFormat="1" applyFont="1" applyBorder="1" applyAlignment="1">
      <alignment horizontal="right" vertical="top" wrapText="1"/>
    </xf>
    <xf numFmtId="0" fontId="12" fillId="2" borderId="15" xfId="22" applyFont="1" applyFill="1" applyBorder="1" applyAlignment="1">
      <alignment horizontal="left" vertical="center" readingOrder="1"/>
    </xf>
    <xf numFmtId="175" fontId="12" fillId="2" borderId="15" xfId="22" applyNumberFormat="1" applyFont="1" applyFill="1" applyBorder="1" applyAlignment="1">
      <alignment horizontal="right" vertical="center" readingOrder="1"/>
    </xf>
    <xf numFmtId="4" fontId="12" fillId="2" borderId="15" xfId="22" applyNumberFormat="1" applyFont="1" applyFill="1" applyBorder="1" applyAlignment="1">
      <alignment horizontal="right" vertical="center" readingOrder="1"/>
    </xf>
    <xf numFmtId="4" fontId="12" fillId="2" borderId="17" xfId="22" applyNumberFormat="1" applyFont="1" applyFill="1" applyBorder="1" applyAlignment="1">
      <alignment horizontal="right" vertical="center" readingOrder="1"/>
    </xf>
    <xf numFmtId="2" fontId="25" fillId="0" borderId="18" xfId="22" applyNumberFormat="1" applyFont="1" applyBorder="1" applyAlignment="1">
      <alignment horizontal="right" vertical="top" wrapText="1"/>
    </xf>
    <xf numFmtId="2" fontId="25" fillId="0" borderId="15" xfId="22" applyNumberFormat="1" applyFont="1" applyBorder="1" applyAlignment="1">
      <alignment horizontal="right" vertical="top" wrapText="1"/>
    </xf>
    <xf numFmtId="0" fontId="12" fillId="2" borderId="15" xfId="22" applyFont="1" applyFill="1" applyBorder="1" applyAlignment="1">
      <alignment horizontal="left" vertical="center" wrapText="1" readingOrder="1"/>
    </xf>
    <xf numFmtId="175" fontId="12" fillId="2" borderId="15" xfId="22" applyNumberFormat="1" applyFont="1" applyFill="1" applyBorder="1" applyAlignment="1">
      <alignment horizontal="right" vertical="center" wrapText="1" readingOrder="1"/>
    </xf>
    <xf numFmtId="2" fontId="12" fillId="2" borderId="15" xfId="22" applyNumberFormat="1" applyFont="1" applyFill="1" applyBorder="1" applyAlignment="1">
      <alignment horizontal="right" vertical="center" wrapText="1" readingOrder="1"/>
    </xf>
    <xf numFmtId="175" fontId="12" fillId="0" borderId="15" xfId="22" applyNumberFormat="1" applyFont="1" applyBorder="1" applyAlignment="1">
      <alignment horizontal="right" vertical="center" wrapText="1" readingOrder="1"/>
    </xf>
    <xf numFmtId="2" fontId="25" fillId="0" borderId="0" xfId="22" applyNumberFormat="1" applyFont="1" applyAlignment="1">
      <alignment horizontal="left" vertical="top"/>
    </xf>
    <xf numFmtId="175" fontId="12" fillId="0" borderId="19" xfId="22" applyNumberFormat="1" applyFont="1" applyBorder="1" applyAlignment="1">
      <alignment horizontal="right" vertical="center" wrapText="1" readingOrder="1"/>
    </xf>
    <xf numFmtId="4" fontId="12" fillId="2" borderId="15" xfId="22" applyNumberFormat="1" applyFont="1" applyFill="1" applyBorder="1" applyAlignment="1">
      <alignment horizontal="right" vertical="center" wrapText="1" readingOrder="1"/>
    </xf>
    <xf numFmtId="2" fontId="25" fillId="0" borderId="20" xfId="22" applyNumberFormat="1" applyFont="1" applyBorder="1" applyAlignment="1">
      <alignment horizontal="right" vertical="top" wrapText="1"/>
    </xf>
    <xf numFmtId="175" fontId="25" fillId="0" borderId="0" xfId="22" applyNumberFormat="1" applyFont="1"/>
    <xf numFmtId="0" fontId="29" fillId="0" borderId="16" xfId="22" applyFont="1" applyBorder="1" applyAlignment="1">
      <alignment horizontal="center"/>
    </xf>
    <xf numFmtId="2" fontId="25" fillId="0" borderId="16" xfId="22" applyNumberFormat="1" applyFont="1" applyBorder="1" applyAlignment="1">
      <alignment horizontal="center"/>
    </xf>
    <xf numFmtId="0" fontId="25" fillId="0" borderId="16" xfId="22" applyFont="1" applyBorder="1"/>
    <xf numFmtId="37" fontId="25" fillId="0" borderId="16" xfId="24" applyNumberFormat="1" applyFont="1" applyFill="1" applyBorder="1" applyAlignment="1">
      <alignment horizontal="center"/>
    </xf>
    <xf numFmtId="4" fontId="25" fillId="0" borderId="16" xfId="22" applyNumberFormat="1" applyFont="1" applyBorder="1"/>
    <xf numFmtId="43" fontId="25" fillId="0" borderId="16" xfId="24" applyFont="1" applyFill="1" applyBorder="1"/>
    <xf numFmtId="43" fontId="25" fillId="0" borderId="0" xfId="24" applyFont="1" applyFill="1" applyBorder="1"/>
    <xf numFmtId="43" fontId="25" fillId="0" borderId="0" xfId="22" applyNumberFormat="1" applyFont="1"/>
    <xf numFmtId="4" fontId="25" fillId="0" borderId="0" xfId="22" applyNumberFormat="1" applyFont="1"/>
    <xf numFmtId="0" fontId="25" fillId="0" borderId="16" xfId="24" applyNumberFormat="1" applyFont="1" applyFill="1" applyBorder="1" applyAlignment="1">
      <alignment horizontal="center"/>
    </xf>
    <xf numFmtId="4" fontId="25" fillId="0" borderId="16" xfId="24" applyNumberFormat="1" applyFont="1" applyFill="1" applyBorder="1"/>
    <xf numFmtId="1" fontId="25" fillId="0" borderId="16" xfId="22" applyNumberFormat="1" applyFont="1" applyBorder="1" applyAlignment="1">
      <alignment horizontal="center"/>
    </xf>
    <xf numFmtId="2" fontId="25" fillId="0" borderId="16" xfId="22" applyNumberFormat="1" applyFont="1" applyBorder="1" applyAlignment="1">
      <alignment horizontal="right"/>
    </xf>
    <xf numFmtId="43" fontId="25" fillId="0" borderId="16" xfId="24" applyFont="1" applyFill="1" applyBorder="1" applyAlignment="1">
      <alignment horizontal="center" vertical="top" wrapText="1"/>
    </xf>
    <xf numFmtId="179" fontId="25" fillId="0" borderId="16" xfId="24" applyNumberFormat="1" applyFont="1" applyFill="1" applyBorder="1"/>
    <xf numFmtId="180" fontId="25" fillId="0" borderId="0" xfId="22" applyNumberFormat="1" applyFont="1"/>
    <xf numFmtId="0" fontId="25" fillId="0" borderId="0" xfId="22" applyFont="1" applyAlignment="1" applyProtection="1">
      <alignment horizontal="left"/>
      <protection locked="0"/>
    </xf>
    <xf numFmtId="0" fontId="25" fillId="0" borderId="0" xfId="22" applyFont="1" applyAlignment="1">
      <alignment horizontal="center" vertical="top"/>
    </xf>
    <xf numFmtId="43" fontId="25" fillId="0" borderId="0" xfId="24" applyFont="1" applyFill="1" applyBorder="1" applyAlignment="1" applyProtection="1">
      <alignment horizontal="left"/>
      <protection locked="0"/>
    </xf>
    <xf numFmtId="4" fontId="25" fillId="0" borderId="0" xfId="22" applyNumberFormat="1" applyFont="1" applyAlignment="1">
      <alignment horizontal="right" vertical="center"/>
    </xf>
    <xf numFmtId="0" fontId="25" fillId="0" borderId="18" xfId="22" applyFont="1" applyBorder="1" applyAlignment="1">
      <alignment horizontal="left" vertical="top"/>
    </xf>
    <xf numFmtId="175" fontId="12" fillId="2" borderId="17" xfId="22" applyNumberFormat="1" applyFont="1" applyFill="1" applyBorder="1" applyAlignment="1">
      <alignment horizontal="center" vertical="center" wrapText="1" readingOrder="1"/>
    </xf>
    <xf numFmtId="0" fontId="25" fillId="0" borderId="15" xfId="22" applyFont="1" applyBorder="1" applyAlignment="1">
      <alignment horizontal="left" vertical="top"/>
    </xf>
    <xf numFmtId="175" fontId="12" fillId="2" borderId="15" xfId="22" applyNumberFormat="1" applyFont="1" applyFill="1" applyBorder="1" applyAlignment="1">
      <alignment horizontal="center" vertical="center" wrapText="1" readingOrder="1"/>
    </xf>
    <xf numFmtId="0" fontId="25" fillId="0" borderId="0" xfId="22" applyFont="1" applyAlignment="1">
      <alignment horizontal="left" vertical="top"/>
    </xf>
    <xf numFmtId="175" fontId="12" fillId="2" borderId="0" xfId="22" applyNumberFormat="1" applyFont="1" applyFill="1" applyAlignment="1">
      <alignment horizontal="center" vertical="center" wrapText="1" readingOrder="1"/>
    </xf>
    <xf numFmtId="164" fontId="25" fillId="0" borderId="0" xfId="22" applyNumberFormat="1" applyFont="1"/>
    <xf numFmtId="164" fontId="29" fillId="0" borderId="0" xfId="22" applyNumberFormat="1" applyFont="1"/>
    <xf numFmtId="0" fontId="25" fillId="0" borderId="16" xfId="22" applyFont="1" applyBorder="1" applyAlignment="1">
      <alignment horizontal="center"/>
    </xf>
    <xf numFmtId="43" fontId="29" fillId="0" borderId="0" xfId="24" applyFont="1" applyFill="1" applyBorder="1"/>
    <xf numFmtId="0" fontId="29" fillId="0" borderId="0" xfId="22" applyFont="1" applyAlignment="1">
      <alignment vertical="top" wrapText="1"/>
    </xf>
    <xf numFmtId="0" fontId="25" fillId="0" borderId="0" xfId="22" applyFont="1" applyAlignment="1">
      <alignment horizontal="center"/>
    </xf>
    <xf numFmtId="2" fontId="25" fillId="0" borderId="0" xfId="22" applyNumberFormat="1" applyFont="1" applyAlignment="1">
      <alignment horizontal="right"/>
    </xf>
    <xf numFmtId="0" fontId="25" fillId="0" borderId="0" xfId="22" applyFont="1" applyAlignment="1">
      <alignment horizontal="right" vertical="top" wrapText="1"/>
    </xf>
    <xf numFmtId="0" fontId="25" fillId="0" borderId="16" xfId="22" applyFont="1" applyBorder="1" applyAlignment="1">
      <alignment horizontal="center" vertical="top" wrapText="1"/>
    </xf>
    <xf numFmtId="181" fontId="25" fillId="0" borderId="0" xfId="22" applyNumberFormat="1" applyFont="1" applyAlignment="1">
      <alignment horizontal="right" vertical="top" wrapText="1"/>
    </xf>
    <xf numFmtId="2" fontId="25" fillId="0" borderId="0" xfId="22" applyNumberFormat="1" applyFont="1" applyAlignment="1">
      <alignment horizontal="center"/>
    </xf>
    <xf numFmtId="10" fontId="25" fillId="0" borderId="0" xfId="22" applyNumberFormat="1" applyFont="1" applyAlignment="1">
      <alignment horizontal="center"/>
    </xf>
    <xf numFmtId="0" fontId="25" fillId="0" borderId="16" xfId="22" applyFont="1" applyBorder="1" applyAlignment="1">
      <alignment horizontal="left"/>
    </xf>
    <xf numFmtId="2" fontId="25" fillId="0" borderId="16" xfId="22" applyNumberFormat="1" applyFont="1" applyBorder="1" applyAlignment="1">
      <alignment horizontal="center" vertical="top" wrapText="1"/>
    </xf>
    <xf numFmtId="0" fontId="25" fillId="0" borderId="0" xfId="22" applyFont="1" applyAlignment="1">
      <alignment horizontal="left"/>
    </xf>
    <xf numFmtId="0" fontId="25" fillId="0" borderId="0" xfId="22" applyFont="1" applyAlignment="1">
      <alignment horizontal="right" vertical="top"/>
    </xf>
    <xf numFmtId="2" fontId="25" fillId="0" borderId="0" xfId="22" applyNumberFormat="1" applyFont="1" applyAlignment="1">
      <alignment horizontal="right" vertical="top"/>
    </xf>
    <xf numFmtId="182" fontId="25" fillId="0" borderId="0" xfId="24" applyNumberFormat="1" applyFont="1" applyFill="1" applyBorder="1" applyAlignment="1">
      <alignment horizontal="center" vertical="top" wrapText="1"/>
    </xf>
    <xf numFmtId="0" fontId="25" fillId="0" borderId="0" xfId="22" applyFont="1" applyAlignment="1">
      <alignment horizontal="left" vertical="top" wrapText="1"/>
    </xf>
    <xf numFmtId="176" fontId="25" fillId="0" borderId="0" xfId="24" applyNumberFormat="1" applyFont="1" applyFill="1" applyBorder="1" applyAlignment="1">
      <alignment horizontal="right" vertical="top" wrapText="1"/>
    </xf>
    <xf numFmtId="2" fontId="25" fillId="0" borderId="0" xfId="22" applyNumberFormat="1" applyFont="1"/>
    <xf numFmtId="4" fontId="25" fillId="0" borderId="0" xfId="24" applyNumberFormat="1" applyFont="1" applyFill="1" applyBorder="1"/>
    <xf numFmtId="0" fontId="31" fillId="0" borderId="16" xfId="22" applyFont="1" applyBorder="1"/>
    <xf numFmtId="0" fontId="32" fillId="0" borderId="16" xfId="22" applyFont="1" applyBorder="1" applyAlignment="1">
      <alignment horizontal="left" wrapText="1"/>
    </xf>
    <xf numFmtId="0" fontId="33" fillId="0" borderId="16" xfId="22" applyFont="1" applyBorder="1" applyAlignment="1">
      <alignment horizontal="left" wrapText="1"/>
    </xf>
    <xf numFmtId="0" fontId="34" fillId="0" borderId="16" xfId="22" applyFont="1" applyBorder="1"/>
    <xf numFmtId="0" fontId="25" fillId="0" borderId="16" xfId="22" applyFont="1" applyBorder="1" applyAlignment="1">
      <alignment vertical="top"/>
    </xf>
    <xf numFmtId="0" fontId="35" fillId="0" borderId="16" xfId="22" applyFont="1" applyBorder="1"/>
    <xf numFmtId="37" fontId="34" fillId="0" borderId="16" xfId="22" applyNumberFormat="1" applyFont="1" applyBorder="1"/>
    <xf numFmtId="183" fontId="34" fillId="0" borderId="16" xfId="22" applyNumberFormat="1" applyFont="1" applyBorder="1"/>
    <xf numFmtId="43" fontId="25" fillId="0" borderId="16" xfId="24" applyFont="1" applyFill="1" applyBorder="1" applyAlignment="1"/>
    <xf numFmtId="4" fontId="25" fillId="0" borderId="16" xfId="22" applyNumberFormat="1" applyFont="1" applyBorder="1" applyAlignment="1">
      <alignment horizontal="center"/>
    </xf>
    <xf numFmtId="4" fontId="25" fillId="0" borderId="16" xfId="24" applyNumberFormat="1" applyFont="1" applyFill="1" applyBorder="1" applyAlignment="1">
      <alignment horizontal="center"/>
    </xf>
    <xf numFmtId="4" fontId="29" fillId="0" borderId="16" xfId="22" applyNumberFormat="1" applyFont="1" applyBorder="1" applyAlignment="1">
      <alignment horizontal="center" vertical="top" wrapText="1"/>
    </xf>
    <xf numFmtId="4" fontId="25" fillId="0" borderId="16" xfId="22" applyNumberFormat="1" applyFont="1" applyBorder="1" applyAlignment="1">
      <alignment horizontal="center" vertical="top" wrapText="1"/>
    </xf>
    <xf numFmtId="0" fontId="12" fillId="0" borderId="1" xfId="0" applyFont="1" applyBorder="1" applyAlignment="1">
      <alignment horizontal="left" vertical="center" wrapText="1" readingOrder="1"/>
    </xf>
    <xf numFmtId="0" fontId="12" fillId="0" borderId="3" xfId="0" applyFont="1" applyBorder="1" applyAlignment="1">
      <alignment horizontal="left" vertical="center" wrapText="1" readingOrder="1"/>
    </xf>
    <xf numFmtId="0" fontId="16" fillId="0" borderId="0" xfId="0" applyFont="1" applyAlignment="1">
      <alignment horizontal="left" vertical="top" wrapText="1"/>
    </xf>
    <xf numFmtId="0" fontId="4" fillId="0" borderId="7" xfId="0" applyFont="1" applyBorder="1" applyAlignment="1">
      <alignment horizontal="center" vertical="center" wrapText="1" readingOrder="1"/>
    </xf>
    <xf numFmtId="0" fontId="5" fillId="0" borderId="1" xfId="0" applyFont="1" applyBorder="1" applyAlignment="1">
      <alignment horizontal="left" vertical="center" wrapText="1" readingOrder="1"/>
    </xf>
    <xf numFmtId="0" fontId="5" fillId="0" borderId="3" xfId="0" applyFont="1" applyBorder="1" applyAlignment="1">
      <alignment horizontal="left" vertical="center" wrapText="1" readingOrder="1"/>
    </xf>
    <xf numFmtId="0" fontId="6" fillId="0" borderId="1" xfId="0" applyFont="1" applyBorder="1" applyAlignment="1">
      <alignment horizontal="left" vertical="center" wrapText="1" readingOrder="1"/>
    </xf>
    <xf numFmtId="0" fontId="6" fillId="0" borderId="2" xfId="0" applyFont="1" applyBorder="1" applyAlignment="1">
      <alignment horizontal="left" vertical="center" wrapText="1" readingOrder="1"/>
    </xf>
    <xf numFmtId="0" fontId="6" fillId="0" borderId="3" xfId="0" applyFont="1" applyBorder="1" applyAlignment="1">
      <alignment horizontal="left" vertical="center" wrapText="1" readingOrder="1"/>
    </xf>
    <xf numFmtId="0" fontId="12" fillId="0" borderId="0" xfId="0" applyFont="1" applyAlignment="1">
      <alignment horizontal="left" vertical="center" wrapText="1" readingOrder="1"/>
    </xf>
    <xf numFmtId="0" fontId="12" fillId="0" borderId="0" xfId="0" applyFont="1" applyAlignment="1">
      <alignment horizontal="justify" vertical="top" wrapText="1" readingOrder="1"/>
    </xf>
    <xf numFmtId="0" fontId="4" fillId="0" borderId="16" xfId="0" applyFont="1" applyBorder="1" applyAlignment="1">
      <alignment horizontal="center" vertical="center" wrapText="1" readingOrder="1"/>
    </xf>
    <xf numFmtId="0" fontId="12" fillId="0" borderId="1" xfId="4" applyFont="1" applyBorder="1" applyAlignment="1">
      <alignment horizontal="left" vertical="center" wrapText="1" readingOrder="1"/>
    </xf>
    <xf numFmtId="0" fontId="12" fillId="0" borderId="3" xfId="4" applyFont="1" applyBorder="1" applyAlignment="1">
      <alignment horizontal="left" vertical="center" wrapText="1" readingOrder="1"/>
    </xf>
    <xf numFmtId="0" fontId="5" fillId="0" borderId="0" xfId="0" applyFont="1" applyAlignment="1">
      <alignment horizontal="left" vertical="center" wrapText="1" readingOrder="1"/>
    </xf>
    <xf numFmtId="0" fontId="17" fillId="0" borderId="1" xfId="0" applyFont="1" applyBorder="1" applyAlignment="1">
      <alignment horizontal="left" vertical="center" wrapText="1" readingOrder="1"/>
    </xf>
    <xf numFmtId="0" fontId="17" fillId="0" borderId="2" xfId="0" applyFont="1" applyBorder="1" applyAlignment="1">
      <alignment horizontal="left" vertical="center" wrapText="1" readingOrder="1"/>
    </xf>
    <xf numFmtId="0" fontId="17" fillId="0" borderId="3" xfId="0" applyFont="1" applyBorder="1" applyAlignment="1">
      <alignment horizontal="left" vertical="center" wrapText="1" readingOrder="1"/>
    </xf>
    <xf numFmtId="0" fontId="20" fillId="0" borderId="9" xfId="3" applyFont="1" applyBorder="1" applyAlignment="1">
      <alignment horizontal="center" vertical="center" wrapText="1"/>
    </xf>
    <xf numFmtId="0" fontId="20" fillId="0" borderId="10" xfId="3" applyFont="1" applyBorder="1" applyAlignment="1">
      <alignment horizontal="center" vertical="center" wrapText="1"/>
    </xf>
    <xf numFmtId="0" fontId="20" fillId="0" borderId="7" xfId="3" applyFont="1" applyBorder="1" applyAlignment="1">
      <alignment horizontal="center" vertical="center"/>
    </xf>
    <xf numFmtId="0" fontId="19" fillId="0" borderId="9" xfId="12" applyNumberFormat="1" applyFont="1" applyFill="1" applyBorder="1" applyAlignment="1">
      <alignment horizontal="center" vertical="center"/>
    </xf>
    <xf numFmtId="0" fontId="19" fillId="0" borderId="10" xfId="12" applyNumberFormat="1" applyFont="1" applyFill="1" applyBorder="1" applyAlignment="1">
      <alignment horizontal="center" vertical="center"/>
    </xf>
    <xf numFmtId="0" fontId="20" fillId="0" borderId="9" xfId="3" applyFont="1" applyBorder="1" applyAlignment="1">
      <alignment horizontal="center" vertical="center"/>
    </xf>
    <xf numFmtId="0" fontId="20" fillId="0" borderId="11" xfId="3" applyFont="1" applyBorder="1" applyAlignment="1">
      <alignment horizontal="center" vertical="center"/>
    </xf>
    <xf numFmtId="0" fontId="20" fillId="0" borderId="10" xfId="3" applyFont="1" applyBorder="1" applyAlignment="1">
      <alignment horizontal="center" vertical="center"/>
    </xf>
    <xf numFmtId="0" fontId="19" fillId="0" borderId="9" xfId="3" applyFont="1" applyBorder="1" applyAlignment="1">
      <alignment horizontal="left" vertical="center" wrapText="1"/>
    </xf>
    <xf numFmtId="0" fontId="19" fillId="0" borderId="11" xfId="3" applyFont="1" applyBorder="1" applyAlignment="1">
      <alignment horizontal="left" vertical="center" wrapText="1"/>
    </xf>
    <xf numFmtId="0" fontId="19" fillId="0" borderId="10" xfId="3" applyFont="1" applyBorder="1" applyAlignment="1">
      <alignment horizontal="left" vertical="center" wrapText="1"/>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23" fillId="0" borderId="10" xfId="0" applyFont="1" applyBorder="1" applyAlignment="1">
      <alignment horizontal="center" vertical="center"/>
    </xf>
    <xf numFmtId="0" fontId="12" fillId="0" borderId="7" xfId="0" applyFont="1" applyBorder="1" applyAlignment="1">
      <alignment horizontal="left" vertical="center" wrapText="1" readingOrder="1"/>
    </xf>
    <xf numFmtId="0" fontId="12" fillId="0" borderId="9" xfId="0" applyFont="1" applyBorder="1" applyAlignment="1">
      <alignment horizontal="left" vertical="center" wrapText="1" readingOrder="1"/>
    </xf>
    <xf numFmtId="0" fontId="12" fillId="0" borderId="10" xfId="0" applyFont="1" applyBorder="1" applyAlignment="1">
      <alignment horizontal="left" vertical="center" wrapText="1" readingOrder="1"/>
    </xf>
    <xf numFmtId="0" fontId="12" fillId="0" borderId="11" xfId="0" applyFont="1" applyBorder="1" applyAlignment="1">
      <alignment horizontal="left" vertical="center" wrapText="1" readingOrder="1"/>
    </xf>
    <xf numFmtId="0" fontId="12" fillId="0" borderId="13" xfId="0" applyFont="1" applyBorder="1" applyAlignment="1">
      <alignment horizontal="left" vertical="center" wrapText="1" readingOrder="1"/>
    </xf>
    <xf numFmtId="0" fontId="12" fillId="0" borderId="14" xfId="0" applyFont="1" applyBorder="1" applyAlignment="1">
      <alignment horizontal="left" vertical="center" wrapText="1" readingOrder="1"/>
    </xf>
    <xf numFmtId="0" fontId="29" fillId="0" borderId="0" xfId="22" applyFont="1" applyAlignment="1">
      <alignment horizontal="center"/>
    </xf>
  </cellXfs>
  <cellStyles count="25">
    <cellStyle name="Comma" xfId="12" builtinId="3"/>
    <cellStyle name="Comma 2" xfId="7" xr:uid="{740BA590-6F4E-4E7B-9C2A-22294D85FAEC}"/>
    <cellStyle name="Comma 2 2" xfId="11" xr:uid="{1AD82BFC-AF8F-4314-8356-B626BF05EA2B}"/>
    <cellStyle name="Comma 2 2 2" xfId="21" xr:uid="{4DF6CF99-C255-487E-A4BA-118A5049A5AF}"/>
    <cellStyle name="Comma 2 3" xfId="18" xr:uid="{C019C9AC-9851-41C9-9003-FE94F5213868}"/>
    <cellStyle name="Comma 3" xfId="8" xr:uid="{1644D339-1569-4EBB-9E58-D1EFB986E0C8}"/>
    <cellStyle name="Comma 3 2" xfId="19" xr:uid="{DA3617E7-0E30-44A0-B1F8-12D0BD6FCAE1}"/>
    <cellStyle name="Comma 4" xfId="1" xr:uid="{206E4B5B-EC6C-4FC3-9898-1385408038C9}"/>
    <cellStyle name="Comma 5" xfId="15" xr:uid="{168730D2-B09E-4414-9396-5756919F98C6}"/>
    <cellStyle name="Comma 6" xfId="24" xr:uid="{3D4B1DA3-D447-4738-9ECD-8535981B8D8C}"/>
    <cellStyle name="Hyperlink 2" xfId="5" xr:uid="{929485E0-C0C5-4E53-8EE5-D68BF9165AF0}"/>
    <cellStyle name="Normal" xfId="0" builtinId="0"/>
    <cellStyle name="Normal 2" xfId="4" xr:uid="{0358C52E-64C3-41EC-96D9-A8DA45EF64D4}"/>
    <cellStyle name="Normal 2 2" xfId="6" xr:uid="{3D42A8D2-AD7C-4A57-BE42-CE24A131B539}"/>
    <cellStyle name="Normal 2 2 3 2 2" xfId="3" xr:uid="{0FFE3ED6-70D2-4E3C-9AD1-147D80888B3C}"/>
    <cellStyle name="Normal 2 2 3 2 2 2" xfId="9" xr:uid="{9B5EDEDD-A4AF-4E80-917F-A81BCA25C59D}"/>
    <cellStyle name="Normal 2 2 3 2 2 2 2" xfId="20" xr:uid="{AFF2BC12-5A8D-4819-A906-06317258FE2B}"/>
    <cellStyle name="Normal 2 2 3 2 2 3" xfId="14" xr:uid="{9725BC4D-50C0-483C-9BB6-40AD27322F8F}"/>
    <cellStyle name="Normal 2 2 3 2 2 4" xfId="17" xr:uid="{2789C502-7752-4AA7-B3AC-6BDC13DD3D31}"/>
    <cellStyle name="Normal 2 3" xfId="23" xr:uid="{5C6C4163-6E9C-49C2-8DCB-EA30CEC33B71}"/>
    <cellStyle name="Normal 3" xfId="10" xr:uid="{95CFAD16-35B8-475D-BE84-1D36C8B95401}"/>
    <cellStyle name="Normal 4" xfId="22" xr:uid="{2E4255C1-7938-42DE-845B-7A2A10DC50CB}"/>
    <cellStyle name="Percent" xfId="13" builtinId="5"/>
    <cellStyle name="Percent 2" xfId="2" xr:uid="{54FF16FA-5446-4288-851F-13E28F126ECF}"/>
    <cellStyle name="Percent 3" xfId="16" xr:uid="{C455E5B5-913E-49D9-BEA1-E6F709F0B7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153</xdr:row>
      <xdr:rowOff>0</xdr:rowOff>
    </xdr:from>
    <xdr:to>
      <xdr:col>2</xdr:col>
      <xdr:colOff>2033005</xdr:colOff>
      <xdr:row>154</xdr:row>
      <xdr:rowOff>27375</xdr:rowOff>
    </xdr:to>
    <xdr:pic>
      <xdr:nvPicPr>
        <xdr:cNvPr id="4" name="Picture 3">
          <a:extLst>
            <a:ext uri="{FF2B5EF4-FFF2-40B4-BE49-F238E27FC236}">
              <a16:creationId xmlns:a16="http://schemas.microsoft.com/office/drawing/2014/main" id="{FA5E92E1-8A02-48BB-A5AA-444ABF39EB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68986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158</xdr:row>
      <xdr:rowOff>0</xdr:rowOff>
    </xdr:from>
    <xdr:to>
      <xdr:col>2</xdr:col>
      <xdr:colOff>2033005</xdr:colOff>
      <xdr:row>158</xdr:row>
      <xdr:rowOff>1980000</xdr:rowOff>
    </xdr:to>
    <xdr:pic>
      <xdr:nvPicPr>
        <xdr:cNvPr id="5" name="Picture 4">
          <a:extLst>
            <a:ext uri="{FF2B5EF4-FFF2-40B4-BE49-F238E27FC236}">
              <a16:creationId xmlns:a16="http://schemas.microsoft.com/office/drawing/2014/main" id="{C303716B-588A-4646-8087-50F25D0C84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4989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132</xdr:row>
      <xdr:rowOff>0</xdr:rowOff>
    </xdr:from>
    <xdr:to>
      <xdr:col>2</xdr:col>
      <xdr:colOff>2033005</xdr:colOff>
      <xdr:row>133</xdr:row>
      <xdr:rowOff>27375</xdr:rowOff>
    </xdr:to>
    <xdr:pic>
      <xdr:nvPicPr>
        <xdr:cNvPr id="4" name="Picture 3">
          <a:extLst>
            <a:ext uri="{FF2B5EF4-FFF2-40B4-BE49-F238E27FC236}">
              <a16:creationId xmlns:a16="http://schemas.microsoft.com/office/drawing/2014/main" id="{8CB72953-6247-4F3F-AC22-0361BB9F45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0124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137</xdr:row>
      <xdr:rowOff>0</xdr:rowOff>
    </xdr:from>
    <xdr:to>
      <xdr:col>2</xdr:col>
      <xdr:colOff>2033005</xdr:colOff>
      <xdr:row>137</xdr:row>
      <xdr:rowOff>1980000</xdr:rowOff>
    </xdr:to>
    <xdr:pic>
      <xdr:nvPicPr>
        <xdr:cNvPr id="5" name="Picture 4">
          <a:extLst>
            <a:ext uri="{FF2B5EF4-FFF2-40B4-BE49-F238E27FC236}">
              <a16:creationId xmlns:a16="http://schemas.microsoft.com/office/drawing/2014/main" id="{6BAE195F-77CF-4157-B292-2A77B33445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6127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133</xdr:row>
      <xdr:rowOff>0</xdr:rowOff>
    </xdr:from>
    <xdr:to>
      <xdr:col>2</xdr:col>
      <xdr:colOff>2033005</xdr:colOff>
      <xdr:row>134</xdr:row>
      <xdr:rowOff>27375</xdr:rowOff>
    </xdr:to>
    <xdr:pic>
      <xdr:nvPicPr>
        <xdr:cNvPr id="4" name="Picture 3">
          <a:extLst>
            <a:ext uri="{FF2B5EF4-FFF2-40B4-BE49-F238E27FC236}">
              <a16:creationId xmlns:a16="http://schemas.microsoft.com/office/drawing/2014/main" id="{F17062FB-D148-4489-8005-C2CA90DC97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336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138</xdr:row>
      <xdr:rowOff>0</xdr:rowOff>
    </xdr:from>
    <xdr:to>
      <xdr:col>2</xdr:col>
      <xdr:colOff>2033005</xdr:colOff>
      <xdr:row>138</xdr:row>
      <xdr:rowOff>1980000</xdr:rowOff>
    </xdr:to>
    <xdr:pic>
      <xdr:nvPicPr>
        <xdr:cNvPr id="5" name="Picture 4">
          <a:extLst>
            <a:ext uri="{FF2B5EF4-FFF2-40B4-BE49-F238E27FC236}">
              <a16:creationId xmlns:a16="http://schemas.microsoft.com/office/drawing/2014/main" id="{5883AAEF-95BE-4088-BC34-10F01CD7D3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936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2033005</xdr:colOff>
      <xdr:row>132</xdr:row>
      <xdr:rowOff>27375</xdr:rowOff>
    </xdr:to>
    <xdr:pic>
      <xdr:nvPicPr>
        <xdr:cNvPr id="4" name="Picture 3">
          <a:extLst>
            <a:ext uri="{FF2B5EF4-FFF2-40B4-BE49-F238E27FC236}">
              <a16:creationId xmlns:a16="http://schemas.microsoft.com/office/drawing/2014/main" id="{9FFA1C37-A4D6-4DAD-AC29-31067E9761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0124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136</xdr:row>
      <xdr:rowOff>0</xdr:rowOff>
    </xdr:from>
    <xdr:to>
      <xdr:col>2</xdr:col>
      <xdr:colOff>2033005</xdr:colOff>
      <xdr:row>136</xdr:row>
      <xdr:rowOff>1980000</xdr:rowOff>
    </xdr:to>
    <xdr:pic>
      <xdr:nvPicPr>
        <xdr:cNvPr id="5" name="Picture 4">
          <a:extLst>
            <a:ext uri="{FF2B5EF4-FFF2-40B4-BE49-F238E27FC236}">
              <a16:creationId xmlns:a16="http://schemas.microsoft.com/office/drawing/2014/main" id="{6528901F-1944-4035-A9A5-E6F1A008390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6127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174</xdr:row>
      <xdr:rowOff>0</xdr:rowOff>
    </xdr:from>
    <xdr:to>
      <xdr:col>2</xdr:col>
      <xdr:colOff>2033005</xdr:colOff>
      <xdr:row>175</xdr:row>
      <xdr:rowOff>27375</xdr:rowOff>
    </xdr:to>
    <xdr:pic>
      <xdr:nvPicPr>
        <xdr:cNvPr id="5" name="Picture 4">
          <a:extLst>
            <a:ext uri="{FF2B5EF4-FFF2-40B4-BE49-F238E27FC236}">
              <a16:creationId xmlns:a16="http://schemas.microsoft.com/office/drawing/2014/main" id="{91D49089-8B2C-445D-AE50-522B74C050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432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179</xdr:row>
      <xdr:rowOff>0</xdr:rowOff>
    </xdr:from>
    <xdr:to>
      <xdr:col>2</xdr:col>
      <xdr:colOff>2033005</xdr:colOff>
      <xdr:row>179</xdr:row>
      <xdr:rowOff>1980000</xdr:rowOff>
    </xdr:to>
    <xdr:pic>
      <xdr:nvPicPr>
        <xdr:cNvPr id="6" name="Picture 5">
          <a:extLst>
            <a:ext uri="{FF2B5EF4-FFF2-40B4-BE49-F238E27FC236}">
              <a16:creationId xmlns:a16="http://schemas.microsoft.com/office/drawing/2014/main" id="{A72983CC-24AC-4525-9B7D-AA1F3DB6ED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032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179</xdr:row>
      <xdr:rowOff>0</xdr:rowOff>
    </xdr:from>
    <xdr:to>
      <xdr:col>6</xdr:col>
      <xdr:colOff>890005</xdr:colOff>
      <xdr:row>179</xdr:row>
      <xdr:rowOff>1980000</xdr:rowOff>
    </xdr:to>
    <xdr:pic>
      <xdr:nvPicPr>
        <xdr:cNvPr id="7" name="Picture 6">
          <a:extLst>
            <a:ext uri="{FF2B5EF4-FFF2-40B4-BE49-F238E27FC236}">
              <a16:creationId xmlns:a16="http://schemas.microsoft.com/office/drawing/2014/main" id="{ED429A8C-B0CF-4AE6-BC43-4DA17BF025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4032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241</xdr:row>
      <xdr:rowOff>0</xdr:rowOff>
    </xdr:from>
    <xdr:to>
      <xdr:col>2</xdr:col>
      <xdr:colOff>2014877</xdr:colOff>
      <xdr:row>242</xdr:row>
      <xdr:rowOff>27375</xdr:rowOff>
    </xdr:to>
    <xdr:pic>
      <xdr:nvPicPr>
        <xdr:cNvPr id="4" name="Picture 3">
          <a:extLst>
            <a:ext uri="{FF2B5EF4-FFF2-40B4-BE49-F238E27FC236}">
              <a16:creationId xmlns:a16="http://schemas.microsoft.com/office/drawing/2014/main" id="{802ADAC6-2F0A-4D67-9492-5919B620D4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502158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246</xdr:row>
      <xdr:rowOff>161925</xdr:rowOff>
    </xdr:from>
    <xdr:to>
      <xdr:col>2</xdr:col>
      <xdr:colOff>2023480</xdr:colOff>
      <xdr:row>247</xdr:row>
      <xdr:rowOff>46425</xdr:rowOff>
    </xdr:to>
    <xdr:pic>
      <xdr:nvPicPr>
        <xdr:cNvPr id="5" name="Picture 4">
          <a:extLst>
            <a:ext uri="{FF2B5EF4-FFF2-40B4-BE49-F238E27FC236}">
              <a16:creationId xmlns:a16="http://schemas.microsoft.com/office/drawing/2014/main" id="{437D98E1-A5CD-4D2C-AA67-33B347DABB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529780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199</xdr:row>
      <xdr:rowOff>0</xdr:rowOff>
    </xdr:from>
    <xdr:to>
      <xdr:col>2</xdr:col>
      <xdr:colOff>2072189</xdr:colOff>
      <xdr:row>199</xdr:row>
      <xdr:rowOff>1980000</xdr:rowOff>
    </xdr:to>
    <xdr:pic>
      <xdr:nvPicPr>
        <xdr:cNvPr id="4" name="Picture 3">
          <a:extLst>
            <a:ext uri="{FF2B5EF4-FFF2-40B4-BE49-F238E27FC236}">
              <a16:creationId xmlns:a16="http://schemas.microsoft.com/office/drawing/2014/main" id="{77AC431F-7C58-43DC-9A14-7F3B2728B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87191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194</xdr:row>
      <xdr:rowOff>0</xdr:rowOff>
    </xdr:from>
    <xdr:to>
      <xdr:col>2</xdr:col>
      <xdr:colOff>2072189</xdr:colOff>
      <xdr:row>195</xdr:row>
      <xdr:rowOff>27375</xdr:rowOff>
    </xdr:to>
    <xdr:pic>
      <xdr:nvPicPr>
        <xdr:cNvPr id="5" name="Picture 4">
          <a:extLst>
            <a:ext uri="{FF2B5EF4-FFF2-40B4-BE49-F238E27FC236}">
              <a16:creationId xmlns:a16="http://schemas.microsoft.com/office/drawing/2014/main" id="{6E02FB4D-5D2A-40F7-AB27-598C439FF3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61188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221</xdr:row>
      <xdr:rowOff>104775</xdr:rowOff>
    </xdr:from>
    <xdr:to>
      <xdr:col>2</xdr:col>
      <xdr:colOff>2014877</xdr:colOff>
      <xdr:row>221</xdr:row>
      <xdr:rowOff>2084775</xdr:rowOff>
    </xdr:to>
    <xdr:pic>
      <xdr:nvPicPr>
        <xdr:cNvPr id="4" name="Picture 3">
          <a:extLst>
            <a:ext uri="{FF2B5EF4-FFF2-40B4-BE49-F238E27FC236}">
              <a16:creationId xmlns:a16="http://schemas.microsoft.com/office/drawing/2014/main" id="{F1783E17-21E9-42E5-8091-52150B29DF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40055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215</xdr:row>
      <xdr:rowOff>133350</xdr:rowOff>
    </xdr:from>
    <xdr:to>
      <xdr:col>2</xdr:col>
      <xdr:colOff>2023480</xdr:colOff>
      <xdr:row>216</xdr:row>
      <xdr:rowOff>1951425</xdr:rowOff>
    </xdr:to>
    <xdr:pic>
      <xdr:nvPicPr>
        <xdr:cNvPr id="2" name="Picture 1">
          <a:extLst>
            <a:ext uri="{FF2B5EF4-FFF2-40B4-BE49-F238E27FC236}">
              <a16:creationId xmlns:a16="http://schemas.microsoft.com/office/drawing/2014/main" id="{1428F6AB-7FD2-3771-F025-3607D137D2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41271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164</xdr:row>
      <xdr:rowOff>0</xdr:rowOff>
    </xdr:from>
    <xdr:to>
      <xdr:col>2</xdr:col>
      <xdr:colOff>2013955</xdr:colOff>
      <xdr:row>165</xdr:row>
      <xdr:rowOff>27375</xdr:rowOff>
    </xdr:to>
    <xdr:pic>
      <xdr:nvPicPr>
        <xdr:cNvPr id="5" name="Picture 4">
          <a:extLst>
            <a:ext uri="{FF2B5EF4-FFF2-40B4-BE49-F238E27FC236}">
              <a16:creationId xmlns:a16="http://schemas.microsoft.com/office/drawing/2014/main" id="{F77D682D-F3AE-4DDF-B6A7-CCB8CA3073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080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169</xdr:row>
      <xdr:rowOff>0</xdr:rowOff>
    </xdr:from>
    <xdr:to>
      <xdr:col>2</xdr:col>
      <xdr:colOff>2013955</xdr:colOff>
      <xdr:row>169</xdr:row>
      <xdr:rowOff>1980000</xdr:rowOff>
    </xdr:to>
    <xdr:pic>
      <xdr:nvPicPr>
        <xdr:cNvPr id="6" name="Picture 5">
          <a:extLst>
            <a:ext uri="{FF2B5EF4-FFF2-40B4-BE49-F238E27FC236}">
              <a16:creationId xmlns:a16="http://schemas.microsoft.com/office/drawing/2014/main" id="{FD78DE75-5BB5-499A-AAC5-0A163ACF30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36804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2590800</xdr:colOff>
      <xdr:row>169</xdr:row>
      <xdr:rowOff>0</xdr:rowOff>
    </xdr:from>
    <xdr:to>
      <xdr:col>6</xdr:col>
      <xdr:colOff>890005</xdr:colOff>
      <xdr:row>169</xdr:row>
      <xdr:rowOff>1980000</xdr:rowOff>
    </xdr:to>
    <xdr:pic>
      <xdr:nvPicPr>
        <xdr:cNvPr id="7" name="Picture 6">
          <a:extLst>
            <a:ext uri="{FF2B5EF4-FFF2-40B4-BE49-F238E27FC236}">
              <a16:creationId xmlns:a16="http://schemas.microsoft.com/office/drawing/2014/main" id="{3A79682B-3C39-403A-89EF-1ED0607A39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36804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225</xdr:row>
      <xdr:rowOff>0</xdr:rowOff>
    </xdr:from>
    <xdr:to>
      <xdr:col>2</xdr:col>
      <xdr:colOff>2072189</xdr:colOff>
      <xdr:row>226</xdr:row>
      <xdr:rowOff>27375</xdr:rowOff>
    </xdr:to>
    <xdr:pic>
      <xdr:nvPicPr>
        <xdr:cNvPr id="4" name="Picture 3">
          <a:extLst>
            <a:ext uri="{FF2B5EF4-FFF2-40B4-BE49-F238E27FC236}">
              <a16:creationId xmlns:a16="http://schemas.microsoft.com/office/drawing/2014/main" id="{641B7B42-C3D1-4F7E-A49D-8FF34A8011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219575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230</xdr:row>
      <xdr:rowOff>57150</xdr:rowOff>
    </xdr:from>
    <xdr:to>
      <xdr:col>2</xdr:col>
      <xdr:colOff>2081714</xdr:colOff>
      <xdr:row>230</xdr:row>
      <xdr:rowOff>2037150</xdr:rowOff>
    </xdr:to>
    <xdr:pic>
      <xdr:nvPicPr>
        <xdr:cNvPr id="5" name="Picture 4">
          <a:extLst>
            <a:ext uri="{FF2B5EF4-FFF2-40B4-BE49-F238E27FC236}">
              <a16:creationId xmlns:a16="http://schemas.microsoft.com/office/drawing/2014/main" id="{A44B5E5D-F2C9-4DF2-9C44-CFD9C58E8A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448532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123</xdr:row>
      <xdr:rowOff>0</xdr:rowOff>
    </xdr:from>
    <xdr:to>
      <xdr:col>2</xdr:col>
      <xdr:colOff>2013955</xdr:colOff>
      <xdr:row>124</xdr:row>
      <xdr:rowOff>27375</xdr:rowOff>
    </xdr:to>
    <xdr:pic>
      <xdr:nvPicPr>
        <xdr:cNvPr id="5" name="Picture 4">
          <a:extLst>
            <a:ext uri="{FF2B5EF4-FFF2-40B4-BE49-F238E27FC236}">
              <a16:creationId xmlns:a16="http://schemas.microsoft.com/office/drawing/2014/main" id="{AB793AC8-44EE-48D7-8BFB-42769EED0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355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128</xdr:row>
      <xdr:rowOff>0</xdr:rowOff>
    </xdr:from>
    <xdr:to>
      <xdr:col>2</xdr:col>
      <xdr:colOff>2013955</xdr:colOff>
      <xdr:row>128</xdr:row>
      <xdr:rowOff>1980000</xdr:rowOff>
    </xdr:to>
    <xdr:pic>
      <xdr:nvPicPr>
        <xdr:cNvPr id="6" name="Picture 5">
          <a:extLst>
            <a:ext uri="{FF2B5EF4-FFF2-40B4-BE49-F238E27FC236}">
              <a16:creationId xmlns:a16="http://schemas.microsoft.com/office/drawing/2014/main" id="{8E381D87-3837-4DBF-9C29-2A618C3152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4955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2590800</xdr:colOff>
      <xdr:row>128</xdr:row>
      <xdr:rowOff>0</xdr:rowOff>
    </xdr:from>
    <xdr:to>
      <xdr:col>6</xdr:col>
      <xdr:colOff>890005</xdr:colOff>
      <xdr:row>128</xdr:row>
      <xdr:rowOff>1980000</xdr:rowOff>
    </xdr:to>
    <xdr:pic>
      <xdr:nvPicPr>
        <xdr:cNvPr id="7" name="Picture 6">
          <a:extLst>
            <a:ext uri="{FF2B5EF4-FFF2-40B4-BE49-F238E27FC236}">
              <a16:creationId xmlns:a16="http://schemas.microsoft.com/office/drawing/2014/main" id="{DA39AE00-EF44-4A7B-97E7-0D28EA41A6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4955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2</xdr:col>
      <xdr:colOff>2033005</xdr:colOff>
      <xdr:row>98</xdr:row>
      <xdr:rowOff>27375</xdr:rowOff>
    </xdr:to>
    <xdr:pic>
      <xdr:nvPicPr>
        <xdr:cNvPr id="2" name="Picture 1">
          <a:extLst>
            <a:ext uri="{FF2B5EF4-FFF2-40B4-BE49-F238E27FC236}">
              <a16:creationId xmlns:a16="http://schemas.microsoft.com/office/drawing/2014/main" id="{DDBC58E7-A7FE-41EF-A77B-5D138EFF76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6859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102</xdr:row>
      <xdr:rowOff>0</xdr:rowOff>
    </xdr:from>
    <xdr:to>
      <xdr:col>2</xdr:col>
      <xdr:colOff>2033005</xdr:colOff>
      <xdr:row>102</xdr:row>
      <xdr:rowOff>1980000</xdr:rowOff>
    </xdr:to>
    <xdr:pic>
      <xdr:nvPicPr>
        <xdr:cNvPr id="3" name="Picture 2">
          <a:extLst>
            <a:ext uri="{FF2B5EF4-FFF2-40B4-BE49-F238E27FC236}">
              <a16:creationId xmlns:a16="http://schemas.microsoft.com/office/drawing/2014/main" id="{A85F1346-77DD-4D12-ADA8-677F463F84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19459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174</xdr:row>
      <xdr:rowOff>0</xdr:rowOff>
    </xdr:from>
    <xdr:to>
      <xdr:col>2</xdr:col>
      <xdr:colOff>2013955</xdr:colOff>
      <xdr:row>175</xdr:row>
      <xdr:rowOff>27375</xdr:rowOff>
    </xdr:to>
    <xdr:pic>
      <xdr:nvPicPr>
        <xdr:cNvPr id="5" name="Picture 4">
          <a:extLst>
            <a:ext uri="{FF2B5EF4-FFF2-40B4-BE49-F238E27FC236}">
              <a16:creationId xmlns:a16="http://schemas.microsoft.com/office/drawing/2014/main" id="{B4F51751-6100-4951-BE35-29DB6E2FAF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31946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179</xdr:row>
      <xdr:rowOff>0</xdr:rowOff>
    </xdr:from>
    <xdr:to>
      <xdr:col>2</xdr:col>
      <xdr:colOff>2013955</xdr:colOff>
      <xdr:row>179</xdr:row>
      <xdr:rowOff>1980000</xdr:rowOff>
    </xdr:to>
    <xdr:pic>
      <xdr:nvPicPr>
        <xdr:cNvPr id="6" name="Picture 5">
          <a:extLst>
            <a:ext uri="{FF2B5EF4-FFF2-40B4-BE49-F238E27FC236}">
              <a16:creationId xmlns:a16="http://schemas.microsoft.com/office/drawing/2014/main" id="{FAD36A41-52E7-4EA0-8CFB-F86AA04A29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57949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2590800</xdr:colOff>
      <xdr:row>179</xdr:row>
      <xdr:rowOff>0</xdr:rowOff>
    </xdr:from>
    <xdr:to>
      <xdr:col>6</xdr:col>
      <xdr:colOff>651880</xdr:colOff>
      <xdr:row>179</xdr:row>
      <xdr:rowOff>1980000</xdr:rowOff>
    </xdr:to>
    <xdr:pic>
      <xdr:nvPicPr>
        <xdr:cNvPr id="7" name="Picture 6">
          <a:extLst>
            <a:ext uri="{FF2B5EF4-FFF2-40B4-BE49-F238E27FC236}">
              <a16:creationId xmlns:a16="http://schemas.microsoft.com/office/drawing/2014/main" id="{349CD7BA-3FCC-4EE3-8D65-E0F7D08BAB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57949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196</xdr:row>
      <xdr:rowOff>0</xdr:rowOff>
    </xdr:from>
    <xdr:to>
      <xdr:col>2</xdr:col>
      <xdr:colOff>2033005</xdr:colOff>
      <xdr:row>197</xdr:row>
      <xdr:rowOff>27375</xdr:rowOff>
    </xdr:to>
    <xdr:pic>
      <xdr:nvPicPr>
        <xdr:cNvPr id="4" name="Picture 3">
          <a:extLst>
            <a:ext uri="{FF2B5EF4-FFF2-40B4-BE49-F238E27FC236}">
              <a16:creationId xmlns:a16="http://schemas.microsoft.com/office/drawing/2014/main" id="{D66343B4-4010-47CE-8FE1-0B80453257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52996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200</xdr:row>
      <xdr:rowOff>0</xdr:rowOff>
    </xdr:from>
    <xdr:to>
      <xdr:col>2</xdr:col>
      <xdr:colOff>2033005</xdr:colOff>
      <xdr:row>200</xdr:row>
      <xdr:rowOff>1980000</xdr:rowOff>
    </xdr:to>
    <xdr:pic>
      <xdr:nvPicPr>
        <xdr:cNvPr id="5" name="Picture 4">
          <a:extLst>
            <a:ext uri="{FF2B5EF4-FFF2-40B4-BE49-F238E27FC236}">
              <a16:creationId xmlns:a16="http://schemas.microsoft.com/office/drawing/2014/main" id="{1F1B7D91-BF67-4093-9228-68D0D7F1FF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77380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76200</xdr:colOff>
      <xdr:row>168</xdr:row>
      <xdr:rowOff>0</xdr:rowOff>
    </xdr:from>
    <xdr:to>
      <xdr:col>2</xdr:col>
      <xdr:colOff>2090155</xdr:colOff>
      <xdr:row>169</xdr:row>
      <xdr:rowOff>27375</xdr:rowOff>
    </xdr:to>
    <xdr:pic>
      <xdr:nvPicPr>
        <xdr:cNvPr id="5" name="Picture 4">
          <a:extLst>
            <a:ext uri="{FF2B5EF4-FFF2-40B4-BE49-F238E27FC236}">
              <a16:creationId xmlns:a16="http://schemas.microsoft.com/office/drawing/2014/main" id="{6FE4E6E6-33C7-4E60-A85F-3E27F2486B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323469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173</xdr:row>
      <xdr:rowOff>161925</xdr:rowOff>
    </xdr:from>
    <xdr:to>
      <xdr:col>2</xdr:col>
      <xdr:colOff>2013955</xdr:colOff>
      <xdr:row>174</xdr:row>
      <xdr:rowOff>46425</xdr:rowOff>
    </xdr:to>
    <xdr:pic>
      <xdr:nvPicPr>
        <xdr:cNvPr id="6" name="Picture 5">
          <a:extLst>
            <a:ext uri="{FF2B5EF4-FFF2-40B4-BE49-F238E27FC236}">
              <a16:creationId xmlns:a16="http://schemas.microsoft.com/office/drawing/2014/main" id="{849F009B-C3E4-4A44-BFFA-218C0744D5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5109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123825</xdr:colOff>
      <xdr:row>173</xdr:row>
      <xdr:rowOff>190500</xdr:rowOff>
    </xdr:from>
    <xdr:to>
      <xdr:col>7</xdr:col>
      <xdr:colOff>99430</xdr:colOff>
      <xdr:row>174</xdr:row>
      <xdr:rowOff>75000</xdr:rowOff>
    </xdr:to>
    <xdr:pic>
      <xdr:nvPicPr>
        <xdr:cNvPr id="7" name="Picture 6">
          <a:extLst>
            <a:ext uri="{FF2B5EF4-FFF2-40B4-BE49-F238E27FC236}">
              <a16:creationId xmlns:a16="http://schemas.microsoft.com/office/drawing/2014/main" id="{52F917A7-304D-45E9-8D58-9FBA7D7FE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57700" y="351377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128</xdr:row>
      <xdr:rowOff>0</xdr:rowOff>
    </xdr:from>
    <xdr:to>
      <xdr:col>2</xdr:col>
      <xdr:colOff>2033005</xdr:colOff>
      <xdr:row>129</xdr:row>
      <xdr:rowOff>27375</xdr:rowOff>
    </xdr:to>
    <xdr:pic>
      <xdr:nvPicPr>
        <xdr:cNvPr id="4" name="Picture 3">
          <a:extLst>
            <a:ext uri="{FF2B5EF4-FFF2-40B4-BE49-F238E27FC236}">
              <a16:creationId xmlns:a16="http://schemas.microsoft.com/office/drawing/2014/main" id="{903B4C56-767E-4F84-AB6C-BA93CABA82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355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133</xdr:row>
      <xdr:rowOff>0</xdr:rowOff>
    </xdr:from>
    <xdr:to>
      <xdr:col>2</xdr:col>
      <xdr:colOff>2033005</xdr:colOff>
      <xdr:row>133</xdr:row>
      <xdr:rowOff>1980000</xdr:rowOff>
    </xdr:to>
    <xdr:pic>
      <xdr:nvPicPr>
        <xdr:cNvPr id="5" name="Picture 4">
          <a:extLst>
            <a:ext uri="{FF2B5EF4-FFF2-40B4-BE49-F238E27FC236}">
              <a16:creationId xmlns:a16="http://schemas.microsoft.com/office/drawing/2014/main" id="{8D5E34B2-30A5-4AC2-9679-5CAE24FC65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4955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153</xdr:row>
      <xdr:rowOff>0</xdr:rowOff>
    </xdr:from>
    <xdr:to>
      <xdr:col>2</xdr:col>
      <xdr:colOff>2033005</xdr:colOff>
      <xdr:row>154</xdr:row>
      <xdr:rowOff>27375</xdr:rowOff>
    </xdr:to>
    <xdr:pic>
      <xdr:nvPicPr>
        <xdr:cNvPr id="5" name="Picture 4">
          <a:extLst>
            <a:ext uri="{FF2B5EF4-FFF2-40B4-BE49-F238E27FC236}">
              <a16:creationId xmlns:a16="http://schemas.microsoft.com/office/drawing/2014/main" id="{7D50C83A-C879-46B1-83FC-E7F7ED88DD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65652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159</xdr:row>
      <xdr:rowOff>66675</xdr:rowOff>
    </xdr:from>
    <xdr:to>
      <xdr:col>2</xdr:col>
      <xdr:colOff>2033005</xdr:colOff>
      <xdr:row>159</xdr:row>
      <xdr:rowOff>2046675</xdr:rowOff>
    </xdr:to>
    <xdr:pic>
      <xdr:nvPicPr>
        <xdr:cNvPr id="6" name="Picture 5">
          <a:extLst>
            <a:ext uri="{FF2B5EF4-FFF2-40B4-BE49-F238E27FC236}">
              <a16:creationId xmlns:a16="http://schemas.microsoft.com/office/drawing/2014/main" id="{70DD968C-E084-4815-B971-0D35127CE8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394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159</xdr:row>
      <xdr:rowOff>66675</xdr:rowOff>
    </xdr:from>
    <xdr:to>
      <xdr:col>7</xdr:col>
      <xdr:colOff>32755</xdr:colOff>
      <xdr:row>159</xdr:row>
      <xdr:rowOff>2046675</xdr:rowOff>
    </xdr:to>
    <xdr:pic>
      <xdr:nvPicPr>
        <xdr:cNvPr id="7" name="Picture 6">
          <a:extLst>
            <a:ext uri="{FF2B5EF4-FFF2-40B4-BE49-F238E27FC236}">
              <a16:creationId xmlns:a16="http://schemas.microsoft.com/office/drawing/2014/main" id="{76077AB3-A510-47A3-AD3E-F349A4C22C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9394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158</xdr:row>
      <xdr:rowOff>0</xdr:rowOff>
    </xdr:from>
    <xdr:to>
      <xdr:col>2</xdr:col>
      <xdr:colOff>2033005</xdr:colOff>
      <xdr:row>159</xdr:row>
      <xdr:rowOff>27375</xdr:rowOff>
    </xdr:to>
    <xdr:pic>
      <xdr:nvPicPr>
        <xdr:cNvPr id="8" name="Picture 7">
          <a:extLst>
            <a:ext uri="{FF2B5EF4-FFF2-40B4-BE49-F238E27FC236}">
              <a16:creationId xmlns:a16="http://schemas.microsoft.com/office/drawing/2014/main" id="{4F802337-24FF-465C-95AD-0CDAAE1534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8984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163</xdr:row>
      <xdr:rowOff>0</xdr:rowOff>
    </xdr:from>
    <xdr:to>
      <xdr:col>2</xdr:col>
      <xdr:colOff>2033005</xdr:colOff>
      <xdr:row>163</xdr:row>
      <xdr:rowOff>1980000</xdr:rowOff>
    </xdr:to>
    <xdr:pic>
      <xdr:nvPicPr>
        <xdr:cNvPr id="9" name="Picture 8">
          <a:extLst>
            <a:ext uri="{FF2B5EF4-FFF2-40B4-BE49-F238E27FC236}">
              <a16:creationId xmlns:a16="http://schemas.microsoft.com/office/drawing/2014/main" id="{D1AFE30E-0C88-413F-939E-E6694618CB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15849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163</xdr:row>
      <xdr:rowOff>0</xdr:rowOff>
    </xdr:from>
    <xdr:to>
      <xdr:col>6</xdr:col>
      <xdr:colOff>928105</xdr:colOff>
      <xdr:row>163</xdr:row>
      <xdr:rowOff>1980000</xdr:rowOff>
    </xdr:to>
    <xdr:pic>
      <xdr:nvPicPr>
        <xdr:cNvPr id="10" name="Picture 9">
          <a:extLst>
            <a:ext uri="{FF2B5EF4-FFF2-40B4-BE49-F238E27FC236}">
              <a16:creationId xmlns:a16="http://schemas.microsoft.com/office/drawing/2014/main" id="{02BC2D22-C540-4F20-8CD1-C09744A9D2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15849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2581275</xdr:colOff>
      <xdr:row>135</xdr:row>
      <xdr:rowOff>0</xdr:rowOff>
    </xdr:from>
    <xdr:to>
      <xdr:col>6</xdr:col>
      <xdr:colOff>880480</xdr:colOff>
      <xdr:row>135</xdr:row>
      <xdr:rowOff>1980000</xdr:rowOff>
    </xdr:to>
    <xdr:pic>
      <xdr:nvPicPr>
        <xdr:cNvPr id="5" name="Picture 4">
          <a:extLst>
            <a:ext uri="{FF2B5EF4-FFF2-40B4-BE49-F238E27FC236}">
              <a16:creationId xmlns:a16="http://schemas.microsoft.com/office/drawing/2014/main" id="{E22C61D5-179E-4F5C-93B8-7A50AB591D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0" y="25269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130</xdr:row>
      <xdr:rowOff>0</xdr:rowOff>
    </xdr:from>
    <xdr:to>
      <xdr:col>2</xdr:col>
      <xdr:colOff>2033005</xdr:colOff>
      <xdr:row>131</xdr:row>
      <xdr:rowOff>27375</xdr:rowOff>
    </xdr:to>
    <xdr:pic>
      <xdr:nvPicPr>
        <xdr:cNvPr id="6" name="Picture 5">
          <a:extLst>
            <a:ext uri="{FF2B5EF4-FFF2-40B4-BE49-F238E27FC236}">
              <a16:creationId xmlns:a16="http://schemas.microsoft.com/office/drawing/2014/main" id="{59E01916-AE04-4FA8-9E10-4B338C1957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2669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135</xdr:row>
      <xdr:rowOff>0</xdr:rowOff>
    </xdr:from>
    <xdr:to>
      <xdr:col>2</xdr:col>
      <xdr:colOff>2033005</xdr:colOff>
      <xdr:row>135</xdr:row>
      <xdr:rowOff>1980000</xdr:rowOff>
    </xdr:to>
    <xdr:pic>
      <xdr:nvPicPr>
        <xdr:cNvPr id="7" name="Picture 6">
          <a:extLst>
            <a:ext uri="{FF2B5EF4-FFF2-40B4-BE49-F238E27FC236}">
              <a16:creationId xmlns:a16="http://schemas.microsoft.com/office/drawing/2014/main" id="{23E1C1DF-554C-4A84-8D75-30A4CDC40C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5269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141</xdr:row>
      <xdr:rowOff>0</xdr:rowOff>
    </xdr:from>
    <xdr:to>
      <xdr:col>2</xdr:col>
      <xdr:colOff>2033005</xdr:colOff>
      <xdr:row>142</xdr:row>
      <xdr:rowOff>27375</xdr:rowOff>
    </xdr:to>
    <xdr:pic>
      <xdr:nvPicPr>
        <xdr:cNvPr id="4" name="Picture 3">
          <a:extLst>
            <a:ext uri="{FF2B5EF4-FFF2-40B4-BE49-F238E27FC236}">
              <a16:creationId xmlns:a16="http://schemas.microsoft.com/office/drawing/2014/main" id="{6FB251E8-0F87-4E44-9FDC-A2FEC3DA60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46316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146</xdr:row>
      <xdr:rowOff>0</xdr:rowOff>
    </xdr:from>
    <xdr:to>
      <xdr:col>2</xdr:col>
      <xdr:colOff>2033005</xdr:colOff>
      <xdr:row>146</xdr:row>
      <xdr:rowOff>1980000</xdr:rowOff>
    </xdr:to>
    <xdr:pic>
      <xdr:nvPicPr>
        <xdr:cNvPr id="5" name="Picture 4">
          <a:extLst>
            <a:ext uri="{FF2B5EF4-FFF2-40B4-BE49-F238E27FC236}">
              <a16:creationId xmlns:a16="http://schemas.microsoft.com/office/drawing/2014/main" id="{7324C9F5-1A2E-45FF-A378-D6A7ECE4CF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72319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159</xdr:row>
      <xdr:rowOff>0</xdr:rowOff>
    </xdr:from>
    <xdr:to>
      <xdr:col>2</xdr:col>
      <xdr:colOff>2033005</xdr:colOff>
      <xdr:row>160</xdr:row>
      <xdr:rowOff>27375</xdr:rowOff>
    </xdr:to>
    <xdr:pic>
      <xdr:nvPicPr>
        <xdr:cNvPr id="5" name="Picture 4">
          <a:extLst>
            <a:ext uri="{FF2B5EF4-FFF2-40B4-BE49-F238E27FC236}">
              <a16:creationId xmlns:a16="http://schemas.microsoft.com/office/drawing/2014/main" id="{ECEF19D4-DF7D-40E9-8BE3-C07394EB24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8984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164</xdr:row>
      <xdr:rowOff>0</xdr:rowOff>
    </xdr:from>
    <xdr:to>
      <xdr:col>2</xdr:col>
      <xdr:colOff>2033005</xdr:colOff>
      <xdr:row>164</xdr:row>
      <xdr:rowOff>1980000</xdr:rowOff>
    </xdr:to>
    <xdr:pic>
      <xdr:nvPicPr>
        <xdr:cNvPr id="6" name="Picture 5">
          <a:extLst>
            <a:ext uri="{FF2B5EF4-FFF2-40B4-BE49-F238E27FC236}">
              <a16:creationId xmlns:a16="http://schemas.microsoft.com/office/drawing/2014/main" id="{CC8ABC07-7B66-4C98-8D46-AF78061CC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15849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164</xdr:row>
      <xdr:rowOff>0</xdr:rowOff>
    </xdr:from>
    <xdr:to>
      <xdr:col>6</xdr:col>
      <xdr:colOff>928105</xdr:colOff>
      <xdr:row>164</xdr:row>
      <xdr:rowOff>1980000</xdr:rowOff>
    </xdr:to>
    <xdr:pic>
      <xdr:nvPicPr>
        <xdr:cNvPr id="7" name="Picture 6">
          <a:extLst>
            <a:ext uri="{FF2B5EF4-FFF2-40B4-BE49-F238E27FC236}">
              <a16:creationId xmlns:a16="http://schemas.microsoft.com/office/drawing/2014/main" id="{207F3C10-2802-4617-9307-A5E2AC224C0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15849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123</xdr:row>
      <xdr:rowOff>0</xdr:rowOff>
    </xdr:from>
    <xdr:to>
      <xdr:col>2</xdr:col>
      <xdr:colOff>2033005</xdr:colOff>
      <xdr:row>124</xdr:row>
      <xdr:rowOff>27375</xdr:rowOff>
    </xdr:to>
    <xdr:pic>
      <xdr:nvPicPr>
        <xdr:cNvPr id="4" name="Picture 3">
          <a:extLst>
            <a:ext uri="{FF2B5EF4-FFF2-40B4-BE49-F238E27FC236}">
              <a16:creationId xmlns:a16="http://schemas.microsoft.com/office/drawing/2014/main" id="{A1FE86AF-B15D-4A4B-AF5C-1A4BE384B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1212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128</xdr:row>
      <xdr:rowOff>0</xdr:rowOff>
    </xdr:from>
    <xdr:to>
      <xdr:col>2</xdr:col>
      <xdr:colOff>2033005</xdr:colOff>
      <xdr:row>128</xdr:row>
      <xdr:rowOff>1980000</xdr:rowOff>
    </xdr:to>
    <xdr:pic>
      <xdr:nvPicPr>
        <xdr:cNvPr id="5" name="Picture 4">
          <a:extLst>
            <a:ext uri="{FF2B5EF4-FFF2-40B4-BE49-F238E27FC236}">
              <a16:creationId xmlns:a16="http://schemas.microsoft.com/office/drawing/2014/main" id="{BD238D0E-AB13-4033-AD5C-E7E157531D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3812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176</xdr:row>
      <xdr:rowOff>0</xdr:rowOff>
    </xdr:from>
    <xdr:to>
      <xdr:col>2</xdr:col>
      <xdr:colOff>2033005</xdr:colOff>
      <xdr:row>177</xdr:row>
      <xdr:rowOff>27375</xdr:rowOff>
    </xdr:to>
    <xdr:pic>
      <xdr:nvPicPr>
        <xdr:cNvPr id="8" name="Picture 7">
          <a:extLst>
            <a:ext uri="{FF2B5EF4-FFF2-40B4-BE49-F238E27FC236}">
              <a16:creationId xmlns:a16="http://schemas.microsoft.com/office/drawing/2014/main" id="{E33AE02C-359F-46BE-AF67-AF67B114EE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594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181</xdr:row>
      <xdr:rowOff>0</xdr:rowOff>
    </xdr:from>
    <xdr:to>
      <xdr:col>2</xdr:col>
      <xdr:colOff>2033005</xdr:colOff>
      <xdr:row>193</xdr:row>
      <xdr:rowOff>36900</xdr:rowOff>
    </xdr:to>
    <xdr:pic>
      <xdr:nvPicPr>
        <xdr:cNvPr id="9" name="Picture 8">
          <a:extLst>
            <a:ext uri="{FF2B5EF4-FFF2-40B4-BE49-F238E27FC236}">
              <a16:creationId xmlns:a16="http://schemas.microsoft.com/office/drawing/2014/main" id="{6B04A3C6-74EF-4F87-94FA-E8B5B73CCB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5186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66675</xdr:colOff>
      <xdr:row>181</xdr:row>
      <xdr:rowOff>0</xdr:rowOff>
    </xdr:from>
    <xdr:to>
      <xdr:col>6</xdr:col>
      <xdr:colOff>775705</xdr:colOff>
      <xdr:row>193</xdr:row>
      <xdr:rowOff>36900</xdr:rowOff>
    </xdr:to>
    <xdr:pic>
      <xdr:nvPicPr>
        <xdr:cNvPr id="10" name="Picture 9">
          <a:extLst>
            <a:ext uri="{FF2B5EF4-FFF2-40B4-BE49-F238E27FC236}">
              <a16:creationId xmlns:a16="http://schemas.microsoft.com/office/drawing/2014/main" id="{67DCE227-F86B-41AC-824C-89E90C11D3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0" y="345186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205</xdr:row>
      <xdr:rowOff>0</xdr:rowOff>
    </xdr:from>
    <xdr:to>
      <xdr:col>2</xdr:col>
      <xdr:colOff>2033927</xdr:colOff>
      <xdr:row>205</xdr:row>
      <xdr:rowOff>1980000</xdr:rowOff>
    </xdr:to>
    <xdr:pic>
      <xdr:nvPicPr>
        <xdr:cNvPr id="4" name="Picture 3">
          <a:extLst>
            <a:ext uri="{FF2B5EF4-FFF2-40B4-BE49-F238E27FC236}">
              <a16:creationId xmlns:a16="http://schemas.microsoft.com/office/drawing/2014/main" id="{039B4DCB-256D-4D48-9A94-516363A0EA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952875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200</xdr:row>
      <xdr:rowOff>0</xdr:rowOff>
    </xdr:from>
    <xdr:to>
      <xdr:col>2</xdr:col>
      <xdr:colOff>2033927</xdr:colOff>
      <xdr:row>201</xdr:row>
      <xdr:rowOff>27375</xdr:rowOff>
    </xdr:to>
    <xdr:pic>
      <xdr:nvPicPr>
        <xdr:cNvPr id="5" name="Picture 4">
          <a:extLst>
            <a:ext uri="{FF2B5EF4-FFF2-40B4-BE49-F238E27FC236}">
              <a16:creationId xmlns:a16="http://schemas.microsoft.com/office/drawing/2014/main" id="{1EC76F86-B076-46EB-9788-1BC3F9B538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692842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257175</xdr:colOff>
      <xdr:row>188</xdr:row>
      <xdr:rowOff>85725</xdr:rowOff>
    </xdr:from>
    <xdr:to>
      <xdr:col>2</xdr:col>
      <xdr:colOff>1899655</xdr:colOff>
      <xdr:row>200</xdr:row>
      <xdr:rowOff>122625</xdr:rowOff>
    </xdr:to>
    <xdr:pic>
      <xdr:nvPicPr>
        <xdr:cNvPr id="5" name="Picture 4">
          <a:extLst>
            <a:ext uri="{FF2B5EF4-FFF2-40B4-BE49-F238E27FC236}">
              <a16:creationId xmlns:a16="http://schemas.microsoft.com/office/drawing/2014/main" id="{AD6B7DC9-136A-4F20-B620-AAB31A6E4D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32966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2314575</xdr:colOff>
      <xdr:row>188</xdr:row>
      <xdr:rowOff>114300</xdr:rowOff>
    </xdr:from>
    <xdr:to>
      <xdr:col>6</xdr:col>
      <xdr:colOff>613780</xdr:colOff>
      <xdr:row>200</xdr:row>
      <xdr:rowOff>151200</xdr:rowOff>
    </xdr:to>
    <xdr:pic>
      <xdr:nvPicPr>
        <xdr:cNvPr id="6" name="Picture 5">
          <a:extLst>
            <a:ext uri="{FF2B5EF4-FFF2-40B4-BE49-F238E27FC236}">
              <a16:creationId xmlns:a16="http://schemas.microsoft.com/office/drawing/2014/main" id="{9A1264BD-4928-417B-ACDF-91CB48D466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329946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173</xdr:row>
      <xdr:rowOff>0</xdr:rowOff>
    </xdr:from>
    <xdr:to>
      <xdr:col>2</xdr:col>
      <xdr:colOff>2033005</xdr:colOff>
      <xdr:row>185</xdr:row>
      <xdr:rowOff>36900</xdr:rowOff>
    </xdr:to>
    <xdr:pic>
      <xdr:nvPicPr>
        <xdr:cNvPr id="7" name="Picture 6">
          <a:extLst>
            <a:ext uri="{FF2B5EF4-FFF2-40B4-BE49-F238E27FC236}">
              <a16:creationId xmlns:a16="http://schemas.microsoft.com/office/drawing/2014/main" id="{2010CB2B-AA84-4346-B152-2FEEC56286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451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134</xdr:row>
      <xdr:rowOff>0</xdr:rowOff>
    </xdr:from>
    <xdr:to>
      <xdr:col>2</xdr:col>
      <xdr:colOff>2033005</xdr:colOff>
      <xdr:row>135</xdr:row>
      <xdr:rowOff>27375</xdr:rowOff>
    </xdr:to>
    <xdr:pic>
      <xdr:nvPicPr>
        <xdr:cNvPr id="4" name="Picture 3">
          <a:extLst>
            <a:ext uri="{FF2B5EF4-FFF2-40B4-BE49-F238E27FC236}">
              <a16:creationId xmlns:a16="http://schemas.microsoft.com/office/drawing/2014/main" id="{C27395BF-A46B-4FB5-8DD8-C6F19E427C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660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139</xdr:row>
      <xdr:rowOff>0</xdr:rowOff>
    </xdr:from>
    <xdr:to>
      <xdr:col>2</xdr:col>
      <xdr:colOff>2033005</xdr:colOff>
      <xdr:row>139</xdr:row>
      <xdr:rowOff>1980000</xdr:rowOff>
    </xdr:to>
    <xdr:pic>
      <xdr:nvPicPr>
        <xdr:cNvPr id="5" name="Picture 4">
          <a:extLst>
            <a:ext uri="{FF2B5EF4-FFF2-40B4-BE49-F238E27FC236}">
              <a16:creationId xmlns:a16="http://schemas.microsoft.com/office/drawing/2014/main" id="{70C50E64-8B92-4E07-A705-A57F91B00D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260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135</xdr:row>
      <xdr:rowOff>0</xdr:rowOff>
    </xdr:from>
    <xdr:to>
      <xdr:col>2</xdr:col>
      <xdr:colOff>2033005</xdr:colOff>
      <xdr:row>136</xdr:row>
      <xdr:rowOff>27375</xdr:rowOff>
    </xdr:to>
    <xdr:pic>
      <xdr:nvPicPr>
        <xdr:cNvPr id="4" name="Picture 3">
          <a:extLst>
            <a:ext uri="{FF2B5EF4-FFF2-40B4-BE49-F238E27FC236}">
              <a16:creationId xmlns:a16="http://schemas.microsoft.com/office/drawing/2014/main" id="{5A3B95C3-3BEC-4A9D-A5DB-72AB40C57B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822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140</xdr:row>
      <xdr:rowOff>0</xdr:rowOff>
    </xdr:from>
    <xdr:to>
      <xdr:col>2</xdr:col>
      <xdr:colOff>2033005</xdr:colOff>
      <xdr:row>140</xdr:row>
      <xdr:rowOff>1980000</xdr:rowOff>
    </xdr:to>
    <xdr:pic>
      <xdr:nvPicPr>
        <xdr:cNvPr id="5" name="Picture 4">
          <a:extLst>
            <a:ext uri="{FF2B5EF4-FFF2-40B4-BE49-F238E27FC236}">
              <a16:creationId xmlns:a16="http://schemas.microsoft.com/office/drawing/2014/main" id="{22C0A97F-4893-42C5-BF91-DC6DB7DEFB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4223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130</xdr:row>
      <xdr:rowOff>0</xdr:rowOff>
    </xdr:from>
    <xdr:to>
      <xdr:col>2</xdr:col>
      <xdr:colOff>2033005</xdr:colOff>
      <xdr:row>130</xdr:row>
      <xdr:rowOff>1980000</xdr:rowOff>
    </xdr:to>
    <xdr:pic>
      <xdr:nvPicPr>
        <xdr:cNvPr id="5" name="Picture 4">
          <a:extLst>
            <a:ext uri="{FF2B5EF4-FFF2-40B4-BE49-F238E27FC236}">
              <a16:creationId xmlns:a16="http://schemas.microsoft.com/office/drawing/2014/main" id="{8778C3D5-E03D-458B-8AE9-051C1E8820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4965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125</xdr:row>
      <xdr:rowOff>0</xdr:rowOff>
    </xdr:from>
    <xdr:to>
      <xdr:col>2</xdr:col>
      <xdr:colOff>2033927</xdr:colOff>
      <xdr:row>126</xdr:row>
      <xdr:rowOff>27375</xdr:rowOff>
    </xdr:to>
    <xdr:pic>
      <xdr:nvPicPr>
        <xdr:cNvPr id="2" name="Picture 1">
          <a:extLst>
            <a:ext uri="{FF2B5EF4-FFF2-40B4-BE49-F238E27FC236}">
              <a16:creationId xmlns:a16="http://schemas.microsoft.com/office/drawing/2014/main" id="{68FF0369-9432-41F0-8228-5F2CC18ACCF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23647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2</xdr:col>
      <xdr:colOff>2033005</xdr:colOff>
      <xdr:row>130</xdr:row>
      <xdr:rowOff>27375</xdr:rowOff>
    </xdr:to>
    <xdr:pic>
      <xdr:nvPicPr>
        <xdr:cNvPr id="4" name="Picture 3">
          <a:extLst>
            <a:ext uri="{FF2B5EF4-FFF2-40B4-BE49-F238E27FC236}">
              <a16:creationId xmlns:a16="http://schemas.microsoft.com/office/drawing/2014/main" id="{23D89013-41D0-4294-A2FE-FF77EACA4E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504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134</xdr:row>
      <xdr:rowOff>0</xdr:rowOff>
    </xdr:from>
    <xdr:to>
      <xdr:col>2</xdr:col>
      <xdr:colOff>2033005</xdr:colOff>
      <xdr:row>134</xdr:row>
      <xdr:rowOff>1980000</xdr:rowOff>
    </xdr:to>
    <xdr:pic>
      <xdr:nvPicPr>
        <xdr:cNvPr id="5" name="Picture 4">
          <a:extLst>
            <a:ext uri="{FF2B5EF4-FFF2-40B4-BE49-F238E27FC236}">
              <a16:creationId xmlns:a16="http://schemas.microsoft.com/office/drawing/2014/main" id="{629E5087-F49A-442D-9853-A2955E905F7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4508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2033005</xdr:colOff>
      <xdr:row>132</xdr:row>
      <xdr:rowOff>27375</xdr:rowOff>
    </xdr:to>
    <xdr:pic>
      <xdr:nvPicPr>
        <xdr:cNvPr id="4" name="Picture 3">
          <a:extLst>
            <a:ext uri="{FF2B5EF4-FFF2-40B4-BE49-F238E27FC236}">
              <a16:creationId xmlns:a16="http://schemas.microsoft.com/office/drawing/2014/main" id="{F60057A2-1E4C-4C69-B2D1-6F10EDC952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504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136</xdr:row>
      <xdr:rowOff>0</xdr:rowOff>
    </xdr:from>
    <xdr:to>
      <xdr:col>2</xdr:col>
      <xdr:colOff>2033005</xdr:colOff>
      <xdr:row>136</xdr:row>
      <xdr:rowOff>1980000</xdr:rowOff>
    </xdr:to>
    <xdr:pic>
      <xdr:nvPicPr>
        <xdr:cNvPr id="5" name="Picture 4">
          <a:extLst>
            <a:ext uri="{FF2B5EF4-FFF2-40B4-BE49-F238E27FC236}">
              <a16:creationId xmlns:a16="http://schemas.microsoft.com/office/drawing/2014/main" id="{5287E72F-EF91-444D-972D-A9E7CD9CDB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4508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09D54-BB1D-4D1C-8B16-79C67EB7C8D0}">
  <dimension ref="A1:C31"/>
  <sheetViews>
    <sheetView tabSelected="1" zoomScale="110" zoomScaleNormal="110" workbookViewId="0">
      <pane ySplit="1" topLeftCell="A2" activePane="bottomLeft" state="frozen"/>
      <selection activeCell="C9" sqref="C9"/>
      <selection pane="bottomLeft" activeCell="E15" sqref="E15"/>
    </sheetView>
  </sheetViews>
  <sheetFormatPr defaultColWidth="9.140625" defaultRowHeight="15" x14ac:dyDescent="0.25"/>
  <cols>
    <col min="1" max="1" width="6.140625" style="13" bestFit="1" customWidth="1"/>
    <col min="2" max="2" width="10.42578125" style="13" bestFit="1" customWidth="1"/>
    <col min="3" max="3" width="56.85546875" style="13" bestFit="1" customWidth="1"/>
    <col min="4" max="16384" width="9.140625" style="13"/>
  </cols>
  <sheetData>
    <row r="1" spans="1:3" x14ac:dyDescent="0.25">
      <c r="A1" s="12" t="s">
        <v>1032</v>
      </c>
      <c r="B1" s="12" t="s">
        <v>1033</v>
      </c>
      <c r="C1" s="12" t="s">
        <v>1034</v>
      </c>
    </row>
    <row r="2" spans="1:3" x14ac:dyDescent="0.25">
      <c r="A2" s="14">
        <v>1</v>
      </c>
      <c r="B2" s="15" t="s">
        <v>1035</v>
      </c>
      <c r="C2" s="16" t="s">
        <v>1</v>
      </c>
    </row>
    <row r="3" spans="1:3" x14ac:dyDescent="0.25">
      <c r="A3" s="14">
        <v>2</v>
      </c>
      <c r="B3" s="15" t="s">
        <v>1036</v>
      </c>
      <c r="C3" s="16" t="s">
        <v>1037</v>
      </c>
    </row>
    <row r="4" spans="1:3" x14ac:dyDescent="0.25">
      <c r="A4" s="14">
        <v>3</v>
      </c>
      <c r="B4" s="15" t="s">
        <v>1038</v>
      </c>
      <c r="C4" s="16" t="s">
        <v>185</v>
      </c>
    </row>
    <row r="5" spans="1:3" x14ac:dyDescent="0.25">
      <c r="A5" s="14">
        <v>4</v>
      </c>
      <c r="B5" s="15" t="s">
        <v>1039</v>
      </c>
      <c r="C5" s="16" t="s">
        <v>1040</v>
      </c>
    </row>
    <row r="6" spans="1:3" x14ac:dyDescent="0.25">
      <c r="A6" s="14">
        <v>5</v>
      </c>
      <c r="B6" s="15" t="s">
        <v>1041</v>
      </c>
      <c r="C6" s="16" t="s">
        <v>1042</v>
      </c>
    </row>
    <row r="7" spans="1:3" x14ac:dyDescent="0.25">
      <c r="A7" s="14">
        <v>6</v>
      </c>
      <c r="B7" s="15" t="s">
        <v>1043</v>
      </c>
      <c r="C7" s="16" t="s">
        <v>1044</v>
      </c>
    </row>
    <row r="8" spans="1:3" x14ac:dyDescent="0.25">
      <c r="A8" s="14">
        <v>7</v>
      </c>
      <c r="B8" s="15" t="s">
        <v>1045</v>
      </c>
      <c r="C8" s="16" t="s">
        <v>1046</v>
      </c>
    </row>
    <row r="9" spans="1:3" x14ac:dyDescent="0.25">
      <c r="A9" s="14">
        <v>8</v>
      </c>
      <c r="B9" s="15" t="s">
        <v>1047</v>
      </c>
      <c r="C9" s="16" t="s">
        <v>1048</v>
      </c>
    </row>
    <row r="10" spans="1:3" x14ac:dyDescent="0.25">
      <c r="A10" s="14">
        <v>9</v>
      </c>
      <c r="B10" s="15" t="s">
        <v>1049</v>
      </c>
      <c r="C10" s="16" t="s">
        <v>456</v>
      </c>
    </row>
    <row r="11" spans="1:3" x14ac:dyDescent="0.25">
      <c r="A11" s="14">
        <v>10</v>
      </c>
      <c r="B11" s="15" t="s">
        <v>1050</v>
      </c>
      <c r="C11" s="16" t="s">
        <v>459</v>
      </c>
    </row>
    <row r="12" spans="1:3" x14ac:dyDescent="0.25">
      <c r="A12" s="14">
        <v>11</v>
      </c>
      <c r="B12" s="15" t="s">
        <v>1051</v>
      </c>
      <c r="C12" s="16" t="s">
        <v>460</v>
      </c>
    </row>
    <row r="13" spans="1:3" x14ac:dyDescent="0.25">
      <c r="A13" s="14">
        <v>12</v>
      </c>
      <c r="B13" s="15" t="s">
        <v>1052</v>
      </c>
      <c r="C13" s="16" t="s">
        <v>461</v>
      </c>
    </row>
    <row r="14" spans="1:3" x14ac:dyDescent="0.25">
      <c r="A14" s="14">
        <v>13</v>
      </c>
      <c r="B14" s="15" t="s">
        <v>1053</v>
      </c>
      <c r="C14" s="16" t="s">
        <v>462</v>
      </c>
    </row>
    <row r="15" spans="1:3" x14ac:dyDescent="0.25">
      <c r="A15" s="14">
        <v>14</v>
      </c>
      <c r="B15" s="15" t="s">
        <v>1054</v>
      </c>
      <c r="C15" s="16" t="s">
        <v>523</v>
      </c>
    </row>
    <row r="16" spans="1:3" x14ac:dyDescent="0.25">
      <c r="A16" s="14">
        <v>15</v>
      </c>
      <c r="B16" s="15" t="s">
        <v>1055</v>
      </c>
      <c r="C16" s="16" t="s">
        <v>1056</v>
      </c>
    </row>
    <row r="17" spans="1:3" x14ac:dyDescent="0.25">
      <c r="A17" s="14">
        <v>16</v>
      </c>
      <c r="B17" s="15" t="s">
        <v>1057</v>
      </c>
      <c r="C17" s="16" t="s">
        <v>664</v>
      </c>
    </row>
    <row r="18" spans="1:3" x14ac:dyDescent="0.25">
      <c r="A18" s="14">
        <v>17</v>
      </c>
      <c r="B18" s="15" t="s">
        <v>1058</v>
      </c>
      <c r="C18" s="16" t="s">
        <v>675</v>
      </c>
    </row>
    <row r="19" spans="1:3" x14ac:dyDescent="0.25">
      <c r="A19" s="14">
        <v>18</v>
      </c>
      <c r="B19" s="15" t="s">
        <v>1059</v>
      </c>
      <c r="C19" s="16" t="s">
        <v>692</v>
      </c>
    </row>
    <row r="20" spans="1:3" x14ac:dyDescent="0.25">
      <c r="A20" s="14">
        <v>19</v>
      </c>
      <c r="B20" s="15" t="s">
        <v>1060</v>
      </c>
      <c r="C20" s="16" t="s">
        <v>1061</v>
      </c>
    </row>
    <row r="21" spans="1:3" x14ac:dyDescent="0.25">
      <c r="A21" s="14">
        <v>20</v>
      </c>
      <c r="B21" s="15" t="s">
        <v>1062</v>
      </c>
      <c r="C21" s="16" t="s">
        <v>734</v>
      </c>
    </row>
    <row r="22" spans="1:3" x14ac:dyDescent="0.25">
      <c r="A22" s="14">
        <v>21</v>
      </c>
      <c r="B22" s="15" t="s">
        <v>1063</v>
      </c>
      <c r="C22" s="16" t="s">
        <v>1064</v>
      </c>
    </row>
    <row r="23" spans="1:3" x14ac:dyDescent="0.25">
      <c r="A23" s="14">
        <v>22</v>
      </c>
      <c r="B23" s="15" t="s">
        <v>1065</v>
      </c>
      <c r="C23" s="16" t="s">
        <v>804</v>
      </c>
    </row>
    <row r="24" spans="1:3" x14ac:dyDescent="0.25">
      <c r="A24" s="14">
        <v>23</v>
      </c>
      <c r="B24" s="15" t="s">
        <v>1066</v>
      </c>
      <c r="C24" s="16" t="s">
        <v>813</v>
      </c>
    </row>
    <row r="25" spans="1:3" x14ac:dyDescent="0.25">
      <c r="A25" s="14">
        <v>24</v>
      </c>
      <c r="B25" s="15" t="s">
        <v>1067</v>
      </c>
      <c r="C25" s="16" t="s">
        <v>818</v>
      </c>
    </row>
    <row r="26" spans="1:3" x14ac:dyDescent="0.25">
      <c r="A26" s="14">
        <v>25</v>
      </c>
      <c r="B26" s="15" t="s">
        <v>1068</v>
      </c>
      <c r="C26" s="16" t="s">
        <v>824</v>
      </c>
    </row>
    <row r="27" spans="1:3" x14ac:dyDescent="0.25">
      <c r="A27" s="14">
        <v>26</v>
      </c>
      <c r="B27" s="15" t="s">
        <v>1069</v>
      </c>
      <c r="C27" s="16" t="s">
        <v>825</v>
      </c>
    </row>
    <row r="28" spans="1:3" x14ac:dyDescent="0.25">
      <c r="A28" s="14">
        <v>27</v>
      </c>
      <c r="B28" s="15" t="s">
        <v>1070</v>
      </c>
      <c r="C28" s="16" t="s">
        <v>837</v>
      </c>
    </row>
    <row r="29" spans="1:3" x14ac:dyDescent="0.25">
      <c r="A29" s="14">
        <v>28</v>
      </c>
      <c r="B29" s="15" t="s">
        <v>1071</v>
      </c>
      <c r="C29" s="16" t="s">
        <v>838</v>
      </c>
    </row>
    <row r="30" spans="1:3" x14ac:dyDescent="0.25">
      <c r="A30" s="14">
        <v>29</v>
      </c>
      <c r="B30" s="15" t="s">
        <v>1072</v>
      </c>
      <c r="C30" s="16" t="s">
        <v>840</v>
      </c>
    </row>
    <row r="31" spans="1:3" x14ac:dyDescent="0.25">
      <c r="A31" s="14">
        <v>30</v>
      </c>
      <c r="B31" s="17" t="s">
        <v>1073</v>
      </c>
      <c r="C31" s="16" t="s">
        <v>826</v>
      </c>
    </row>
  </sheetData>
  <hyperlinks>
    <hyperlink ref="B4" location="MIDCAP!A1" display="MIDCAP" xr:uid="{51A7747A-3782-47D6-B446-1D767AC3236F}"/>
    <hyperlink ref="B5" location="MULTIP!A1" display="MULTIP" xr:uid="{87DD87B8-75AC-4FB9-BA4F-F4C9EBB90855}"/>
    <hyperlink ref="B6" location="SLTADV3!A1" display="SLTADV3" xr:uid="{71DDEF05-4F33-4AD2-A50A-A4DC2DA1C4B1}"/>
    <hyperlink ref="B7" location="SLTADV4!A1" display="SLTADV4" xr:uid="{BDEB244F-35DA-4994-B0ED-8A034CC6B828}"/>
    <hyperlink ref="B8" location="SLTAX1!A1" display="SLTAX1" xr:uid="{0C00E813-35FE-4FB4-B975-C5FC866FD534}"/>
    <hyperlink ref="B9" location="SLTAX2!A1" display="SLTAX2" xr:uid="{06098F07-C6BC-47A4-ACF1-6FE2EB533549}"/>
    <hyperlink ref="B10" location="SLTAX3!A1" display="SLTAX3" xr:uid="{190FEC8E-B328-46A2-A125-916B6D8C9FFB}"/>
    <hyperlink ref="B11" location="SLTAX4!A1" display="SLTAX4" xr:uid="{0387BBFC-EC51-44D2-B20B-BB2BAFE35D2D}"/>
    <hyperlink ref="B12" location="SLTAX5!A1" display="SLTAX5" xr:uid="{1957316E-E565-438B-8A59-8EE2EE8770C6}"/>
    <hyperlink ref="B13" location="SLTAX6!A1" display="SLTAX6" xr:uid="{27C24D83-81E4-4FAA-B3D9-90E84C84E0D4}"/>
    <hyperlink ref="B14" location="SMILE!A1" display="SMILE" xr:uid="{AB266B22-26A9-4120-AAF7-F0D958E4AEC0}"/>
    <hyperlink ref="B15" location="SPAHF!A1" display="SPAHF" xr:uid="{386741FF-28FC-4ED3-8146-C3ED5E5AA676}"/>
    <hyperlink ref="B16" location="SPARF!A1" display="SPARF" xr:uid="{D751C18E-A3D9-45D9-AFEB-2DBC0ECA5F96}"/>
    <hyperlink ref="B17" location="SPBAF!A1" display="SPBAF" xr:uid="{4A34E9A4-BB53-40AC-B890-C48AF28405DB}"/>
    <hyperlink ref="B19" location="SPESF!A1" display="SPESF" xr:uid="{2BD68972-0808-4820-9EC6-4F64B2D30689}"/>
    <hyperlink ref="B20" location="SPFOCUS!A1" display="SPFOCUS" xr:uid="{FD8EB7A8-0392-4D6E-B658-C0A3CC49F855}"/>
    <hyperlink ref="B21" location="SPMUCF!A1" display="SPMUCF" xr:uid="{D6EB6EB1-F1AA-489D-8776-83A05869A8AB}"/>
    <hyperlink ref="B22" location="SPSN100!A1" display="SPSN100" xr:uid="{F6314B6D-CC66-4FB0-B008-056BD1C0C978}"/>
    <hyperlink ref="B23" location="SPTAX!A1" display="SPTAX" xr:uid="{1FDBAC95-C892-4DC3-BE11-4763492F966D}"/>
    <hyperlink ref="B24" location="SRURAL!A1" display="SRURAL" xr:uid="{EF268E6D-3E04-47AC-B038-66E090EA0D88}"/>
    <hyperlink ref="B25" location="SSFUND!A1" display="SSFUND" xr:uid="{7EC22270-4A50-494E-AEB9-65E8658E7FA3}"/>
    <hyperlink ref="B26" location="STAX!A1" display="STAX" xr:uid="{4A9E2154-E4D2-4D66-9FB8-03A75EF2EF51}"/>
    <hyperlink ref="B27" location="SUNBCF!A1" display="SUNBCF" xr:uid="{2A39D646-7B5F-4BB6-A301-C93FCE49143B}"/>
    <hyperlink ref="B29" location="SUNFOP!A1" display="SUNFOP" xr:uid="{99E64A56-936B-4649-B92F-AA0A31AA9982}"/>
    <hyperlink ref="B3" location="GLOB!A1" display="GLOB" xr:uid="{1D520576-F655-457E-ACFE-EC4478D938EF}"/>
    <hyperlink ref="B28" location="SUNFCF!A1" display="SUNFCF" xr:uid="{58D71F74-BB2B-48F7-BDFC-0F2D5A5F84FC}"/>
    <hyperlink ref="B18" location="SPDYF!A1" display="SPDYF" xr:uid="{B822C95F-34C7-4201-B77A-FA8E55CE3920}"/>
    <hyperlink ref="B30" location="SUNMAF!A1" display="SUNMAF" xr:uid="{25CA6729-64D2-4244-9E61-42C5949F1F58}"/>
    <hyperlink ref="B2" location="CAPEXG!A1" display="CAPEXG" xr:uid="{3E7C6DF2-8DF1-48F5-BAAC-D4B0FFFB9C7B}"/>
    <hyperlink ref="B31" location="SUNCYF!A1" display="SUNCYF" xr:uid="{91304F9F-7187-4BB8-AC9C-F310F1B2A13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F19B1-6F7D-4174-B062-AD91A670FC98}">
  <sheetPr>
    <outlinePr summaryBelow="0" summaryRight="0"/>
  </sheetPr>
  <dimension ref="A1:Q187"/>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456</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tr">
        <f>IFERROR(VLOOKUP(B5,#REF!,12,FALSE),"")</f>
        <v/>
      </c>
    </row>
    <row r="6" spans="1:9" x14ac:dyDescent="0.2">
      <c r="A6" s="25"/>
      <c r="B6" s="25"/>
      <c r="C6" s="26" t="s">
        <v>10</v>
      </c>
      <c r="D6" s="25"/>
      <c r="E6" s="25"/>
      <c r="F6" s="25"/>
      <c r="G6" s="25"/>
      <c r="H6" s="24" t="str">
        <f>IFERROR(VLOOKUP(B6,#REF!,12,FALSE),"")</f>
        <v/>
      </c>
    </row>
    <row r="7" spans="1:9" x14ac:dyDescent="0.2">
      <c r="A7" s="27">
        <v>1</v>
      </c>
      <c r="B7" s="28" t="s">
        <v>379</v>
      </c>
      <c r="C7" s="28" t="s">
        <v>380</v>
      </c>
      <c r="D7" s="28" t="s">
        <v>39</v>
      </c>
      <c r="E7" s="29">
        <v>19836</v>
      </c>
      <c r="F7" s="30">
        <v>478.04759999999999</v>
      </c>
      <c r="G7" s="31">
        <v>6.3692529999999997E-2</v>
      </c>
      <c r="H7" s="24" t="str">
        <f>IFERROR(VLOOKUP(B7,#REF!,12,FALSE),"")</f>
        <v/>
      </c>
    </row>
    <row r="8" spans="1:9" x14ac:dyDescent="0.2">
      <c r="A8" s="27">
        <v>2</v>
      </c>
      <c r="B8" s="28" t="s">
        <v>350</v>
      </c>
      <c r="C8" s="28" t="s">
        <v>351</v>
      </c>
      <c r="D8" s="28" t="s">
        <v>233</v>
      </c>
      <c r="E8" s="29">
        <v>8253</v>
      </c>
      <c r="F8" s="30">
        <v>473.14036349999998</v>
      </c>
      <c r="G8" s="31">
        <v>6.3038709999999998E-2</v>
      </c>
      <c r="H8" s="24" t="str">
        <f>IFERROR(VLOOKUP(B8,#REF!,12,FALSE),"")</f>
        <v/>
      </c>
    </row>
    <row r="9" spans="1:9" x14ac:dyDescent="0.2">
      <c r="A9" s="27">
        <v>3</v>
      </c>
      <c r="B9" s="28" t="s">
        <v>377</v>
      </c>
      <c r="C9" s="28" t="s">
        <v>378</v>
      </c>
      <c r="D9" s="28" t="s">
        <v>208</v>
      </c>
      <c r="E9" s="29">
        <v>71973</v>
      </c>
      <c r="F9" s="30">
        <v>353.78328149999999</v>
      </c>
      <c r="G9" s="31">
        <v>4.7136209999999998E-2</v>
      </c>
      <c r="H9" s="24" t="str">
        <f>IFERROR(VLOOKUP(B9,#REF!,12,FALSE),"")</f>
        <v/>
      </c>
    </row>
    <row r="10" spans="1:9" x14ac:dyDescent="0.2">
      <c r="A10" s="27">
        <v>4</v>
      </c>
      <c r="B10" s="28" t="s">
        <v>52</v>
      </c>
      <c r="C10" s="28" t="s">
        <v>53</v>
      </c>
      <c r="D10" s="28" t="s">
        <v>42</v>
      </c>
      <c r="E10" s="29">
        <v>8402</v>
      </c>
      <c r="F10" s="30">
        <v>338.06287200000003</v>
      </c>
      <c r="G10" s="31">
        <v>4.5041709999999999E-2</v>
      </c>
      <c r="H10" s="24" t="str">
        <f>IFERROR(VLOOKUP(B10,#REF!,12,FALSE),"")</f>
        <v/>
      </c>
    </row>
    <row r="11" spans="1:9" x14ac:dyDescent="0.2">
      <c r="A11" s="27">
        <v>5</v>
      </c>
      <c r="B11" s="28" t="s">
        <v>133</v>
      </c>
      <c r="C11" s="28" t="s">
        <v>134</v>
      </c>
      <c r="D11" s="28" t="s">
        <v>39</v>
      </c>
      <c r="E11" s="29">
        <v>96717</v>
      </c>
      <c r="F11" s="30">
        <v>337.05874499999999</v>
      </c>
      <c r="G11" s="31">
        <v>4.4907919999999997E-2</v>
      </c>
      <c r="H11" s="24" t="str">
        <f>IFERROR(VLOOKUP(B11,#REF!,12,FALSE),"")</f>
        <v/>
      </c>
    </row>
    <row r="12" spans="1:9" x14ac:dyDescent="0.2">
      <c r="A12" s="27">
        <v>6</v>
      </c>
      <c r="B12" s="28" t="s">
        <v>352</v>
      </c>
      <c r="C12" s="28" t="s">
        <v>353</v>
      </c>
      <c r="D12" s="28" t="s">
        <v>354</v>
      </c>
      <c r="E12" s="29">
        <v>21388</v>
      </c>
      <c r="F12" s="30">
        <v>322.52034600000002</v>
      </c>
      <c r="G12" s="31">
        <v>4.2970899999999999E-2</v>
      </c>
      <c r="H12" s="24" t="str">
        <f>IFERROR(VLOOKUP(B12,#REF!,12,FALSE),"")</f>
        <v/>
      </c>
    </row>
    <row r="13" spans="1:9" x14ac:dyDescent="0.2">
      <c r="A13" s="27">
        <v>7</v>
      </c>
      <c r="B13" s="28" t="s">
        <v>381</v>
      </c>
      <c r="C13" s="28" t="s">
        <v>382</v>
      </c>
      <c r="D13" s="28" t="s">
        <v>223</v>
      </c>
      <c r="E13" s="29">
        <v>106345</v>
      </c>
      <c r="F13" s="30">
        <v>307.97512</v>
      </c>
      <c r="G13" s="31">
        <v>4.1032970000000002E-2</v>
      </c>
      <c r="H13" s="24" t="str">
        <f>IFERROR(VLOOKUP(B13,#REF!,12,FALSE),"")</f>
        <v/>
      </c>
    </row>
    <row r="14" spans="1:9" ht="25.5" x14ac:dyDescent="0.2">
      <c r="A14" s="27">
        <v>8</v>
      </c>
      <c r="B14" s="28" t="s">
        <v>301</v>
      </c>
      <c r="C14" s="28" t="s">
        <v>302</v>
      </c>
      <c r="D14" s="28" t="s">
        <v>258</v>
      </c>
      <c r="E14" s="29">
        <v>7415</v>
      </c>
      <c r="F14" s="30">
        <v>307.626105</v>
      </c>
      <c r="G14" s="31">
        <v>4.0986469999999997E-2</v>
      </c>
      <c r="H14" s="24" t="str">
        <f>IFERROR(VLOOKUP(B14,#REF!,12,FALSE),"")</f>
        <v/>
      </c>
    </row>
    <row r="15" spans="1:9" x14ac:dyDescent="0.2">
      <c r="A15" s="27">
        <v>9</v>
      </c>
      <c r="B15" s="28" t="s">
        <v>395</v>
      </c>
      <c r="C15" s="28" t="s">
        <v>396</v>
      </c>
      <c r="D15" s="28" t="s">
        <v>233</v>
      </c>
      <c r="E15" s="29">
        <v>13073</v>
      </c>
      <c r="F15" s="30">
        <v>306.70565299999998</v>
      </c>
      <c r="G15" s="31">
        <v>4.0863839999999998E-2</v>
      </c>
      <c r="H15" s="24" t="str">
        <f>IFERROR(VLOOKUP(B15,#REF!,12,FALSE),"")</f>
        <v/>
      </c>
    </row>
    <row r="16" spans="1:9" x14ac:dyDescent="0.2">
      <c r="A16" s="27">
        <v>10</v>
      </c>
      <c r="B16" s="28" t="s">
        <v>67</v>
      </c>
      <c r="C16" s="28" t="s">
        <v>68</v>
      </c>
      <c r="D16" s="28" t="s">
        <v>42</v>
      </c>
      <c r="E16" s="29">
        <v>38992</v>
      </c>
      <c r="F16" s="30">
        <v>273.93829599999998</v>
      </c>
      <c r="G16" s="31">
        <v>3.6498089999999997E-2</v>
      </c>
      <c r="H16" s="24" t="str">
        <f>IFERROR(VLOOKUP(B16,#REF!,12,FALSE),"")</f>
        <v/>
      </c>
    </row>
    <row r="17" spans="1:8" x14ac:dyDescent="0.2">
      <c r="A17" s="27">
        <v>11</v>
      </c>
      <c r="B17" s="28" t="s">
        <v>387</v>
      </c>
      <c r="C17" s="28" t="s">
        <v>388</v>
      </c>
      <c r="D17" s="28" t="s">
        <v>33</v>
      </c>
      <c r="E17" s="29">
        <v>382570</v>
      </c>
      <c r="F17" s="30">
        <v>254.40905000000001</v>
      </c>
      <c r="G17" s="31">
        <v>3.389611E-2</v>
      </c>
      <c r="H17" s="24" t="str">
        <f>IFERROR(VLOOKUP(B17,#REF!,12,FALSE),"")</f>
        <v/>
      </c>
    </row>
    <row r="18" spans="1:8" x14ac:dyDescent="0.2">
      <c r="A18" s="27">
        <v>12</v>
      </c>
      <c r="B18" s="28" t="s">
        <v>385</v>
      </c>
      <c r="C18" s="28" t="s">
        <v>386</v>
      </c>
      <c r="D18" s="28" t="s">
        <v>33</v>
      </c>
      <c r="E18" s="29">
        <v>76163</v>
      </c>
      <c r="F18" s="30">
        <v>233.13494299999999</v>
      </c>
      <c r="G18" s="31">
        <v>3.1061660000000001E-2</v>
      </c>
      <c r="H18" s="24" t="str">
        <f>IFERROR(VLOOKUP(B18,#REF!,12,FALSE),"")</f>
        <v/>
      </c>
    </row>
    <row r="19" spans="1:8" x14ac:dyDescent="0.2">
      <c r="A19" s="27">
        <v>13</v>
      </c>
      <c r="B19" s="28" t="s">
        <v>383</v>
      </c>
      <c r="C19" s="28" t="s">
        <v>384</v>
      </c>
      <c r="D19" s="28" t="s">
        <v>195</v>
      </c>
      <c r="E19" s="29">
        <v>33039</v>
      </c>
      <c r="F19" s="30">
        <v>230.99216849999999</v>
      </c>
      <c r="G19" s="31">
        <v>3.0776169999999999E-2</v>
      </c>
      <c r="H19" s="24" t="str">
        <f>IFERROR(VLOOKUP(B19,#REF!,12,FALSE),"")</f>
        <v/>
      </c>
    </row>
    <row r="20" spans="1:8" x14ac:dyDescent="0.2">
      <c r="A20" s="27">
        <v>14</v>
      </c>
      <c r="B20" s="28" t="s">
        <v>389</v>
      </c>
      <c r="C20" s="28" t="s">
        <v>390</v>
      </c>
      <c r="D20" s="28" t="s">
        <v>33</v>
      </c>
      <c r="E20" s="29">
        <v>604881</v>
      </c>
      <c r="F20" s="30">
        <v>217.27325519999999</v>
      </c>
      <c r="G20" s="31">
        <v>2.8948339999999999E-2</v>
      </c>
      <c r="H20" s="24" t="str">
        <f>IFERROR(VLOOKUP(B20,#REF!,12,FALSE),"")</f>
        <v/>
      </c>
    </row>
    <row r="21" spans="1:8" ht="25.5" x14ac:dyDescent="0.2">
      <c r="A21" s="27">
        <v>15</v>
      </c>
      <c r="B21" s="28" t="s">
        <v>50</v>
      </c>
      <c r="C21" s="28" t="s">
        <v>51</v>
      </c>
      <c r="D21" s="28" t="s">
        <v>25</v>
      </c>
      <c r="E21" s="29">
        <v>4362</v>
      </c>
      <c r="F21" s="30">
        <v>210.89615699999999</v>
      </c>
      <c r="G21" s="31">
        <v>2.8098689999999999E-2</v>
      </c>
      <c r="H21" s="24" t="str">
        <f>IFERROR(VLOOKUP(B21,#REF!,12,FALSE),"")</f>
        <v/>
      </c>
    </row>
    <row r="22" spans="1:8" x14ac:dyDescent="0.2">
      <c r="A22" s="27">
        <v>16</v>
      </c>
      <c r="B22" s="28" t="s">
        <v>409</v>
      </c>
      <c r="C22" s="28" t="s">
        <v>410</v>
      </c>
      <c r="D22" s="28" t="s">
        <v>195</v>
      </c>
      <c r="E22" s="29">
        <v>38673</v>
      </c>
      <c r="F22" s="30">
        <v>206.745858</v>
      </c>
      <c r="G22" s="31">
        <v>2.7545719999999999E-2</v>
      </c>
      <c r="H22" s="24" t="str">
        <f>IFERROR(VLOOKUP(B22,#REF!,12,FALSE),"")</f>
        <v/>
      </c>
    </row>
    <row r="23" spans="1:8" ht="25.5" x14ac:dyDescent="0.2">
      <c r="A23" s="27">
        <v>17</v>
      </c>
      <c r="B23" s="28" t="s">
        <v>393</v>
      </c>
      <c r="C23" s="28" t="s">
        <v>394</v>
      </c>
      <c r="D23" s="28" t="s">
        <v>198</v>
      </c>
      <c r="E23" s="29">
        <v>3653</v>
      </c>
      <c r="F23" s="30">
        <v>196.62637799999999</v>
      </c>
      <c r="G23" s="31">
        <v>2.6197459999999999E-2</v>
      </c>
      <c r="H23" s="24" t="str">
        <f>IFERROR(VLOOKUP(B23,#REF!,12,FALSE),"")</f>
        <v/>
      </c>
    </row>
    <row r="24" spans="1:8" x14ac:dyDescent="0.2">
      <c r="A24" s="27">
        <v>18</v>
      </c>
      <c r="B24" s="28" t="s">
        <v>102</v>
      </c>
      <c r="C24" s="28" t="s">
        <v>103</v>
      </c>
      <c r="D24" s="28" t="s">
        <v>42</v>
      </c>
      <c r="E24" s="29">
        <v>10116</v>
      </c>
      <c r="F24" s="30">
        <v>194.980842</v>
      </c>
      <c r="G24" s="31">
        <v>2.5978210000000002E-2</v>
      </c>
      <c r="H24" s="24" t="str">
        <f>IFERROR(VLOOKUP(B24,#REF!,12,FALSE),"")</f>
        <v/>
      </c>
    </row>
    <row r="25" spans="1:8" x14ac:dyDescent="0.2">
      <c r="A25" s="27">
        <v>19</v>
      </c>
      <c r="B25" s="28" t="s">
        <v>45</v>
      </c>
      <c r="C25" s="28" t="s">
        <v>46</v>
      </c>
      <c r="D25" s="28" t="s">
        <v>47</v>
      </c>
      <c r="E25" s="29">
        <v>16288</v>
      </c>
      <c r="F25" s="30">
        <v>190.740624</v>
      </c>
      <c r="G25" s="31">
        <v>2.5413270000000002E-2</v>
      </c>
      <c r="H25" s="24" t="str">
        <f>IFERROR(VLOOKUP(B25,#REF!,12,FALSE),"")</f>
        <v/>
      </c>
    </row>
    <row r="26" spans="1:8" ht="25.5" x14ac:dyDescent="0.2">
      <c r="A26" s="27">
        <v>20</v>
      </c>
      <c r="B26" s="28" t="s">
        <v>402</v>
      </c>
      <c r="C26" s="28" t="s">
        <v>403</v>
      </c>
      <c r="D26" s="28" t="s">
        <v>404</v>
      </c>
      <c r="E26" s="29">
        <v>54534</v>
      </c>
      <c r="F26" s="30">
        <v>182.770701</v>
      </c>
      <c r="G26" s="31">
        <v>2.4351399999999999E-2</v>
      </c>
      <c r="H26" s="24" t="str">
        <f>IFERROR(VLOOKUP(B26,#REF!,12,FALSE),"")</f>
        <v/>
      </c>
    </row>
    <row r="27" spans="1:8" x14ac:dyDescent="0.2">
      <c r="A27" s="27">
        <v>21</v>
      </c>
      <c r="B27" s="28" t="s">
        <v>59</v>
      </c>
      <c r="C27" s="28" t="s">
        <v>60</v>
      </c>
      <c r="D27" s="28" t="s">
        <v>13</v>
      </c>
      <c r="E27" s="29">
        <v>15091</v>
      </c>
      <c r="F27" s="30">
        <v>159.76087150000001</v>
      </c>
      <c r="G27" s="31">
        <v>2.1285689999999999E-2</v>
      </c>
      <c r="H27" s="24" t="str">
        <f>IFERROR(VLOOKUP(B27,#REF!,12,FALSE),"")</f>
        <v/>
      </c>
    </row>
    <row r="28" spans="1:8" x14ac:dyDescent="0.2">
      <c r="A28" s="27">
        <v>22</v>
      </c>
      <c r="B28" s="28" t="s">
        <v>40</v>
      </c>
      <c r="C28" s="28" t="s">
        <v>41</v>
      </c>
      <c r="D28" s="28" t="s">
        <v>42</v>
      </c>
      <c r="E28" s="29">
        <v>3065</v>
      </c>
      <c r="F28" s="30">
        <v>153.602475</v>
      </c>
      <c r="G28" s="31">
        <v>2.0465179999999999E-2</v>
      </c>
      <c r="H28" s="24" t="str">
        <f>IFERROR(VLOOKUP(B28,#REF!,12,FALSE),"")</f>
        <v/>
      </c>
    </row>
    <row r="29" spans="1:8" x14ac:dyDescent="0.2">
      <c r="A29" s="27">
        <v>23</v>
      </c>
      <c r="B29" s="28" t="s">
        <v>407</v>
      </c>
      <c r="C29" s="28" t="s">
        <v>408</v>
      </c>
      <c r="D29" s="28" t="s">
        <v>120</v>
      </c>
      <c r="E29" s="29">
        <v>22434</v>
      </c>
      <c r="F29" s="30">
        <v>149.79181800000001</v>
      </c>
      <c r="G29" s="31">
        <v>1.9957470000000001E-2</v>
      </c>
      <c r="H29" s="24" t="str">
        <f>IFERROR(VLOOKUP(B29,#REF!,12,FALSE),"")</f>
        <v/>
      </c>
    </row>
    <row r="30" spans="1:8" x14ac:dyDescent="0.2">
      <c r="A30" s="27">
        <v>24</v>
      </c>
      <c r="B30" s="28" t="s">
        <v>399</v>
      </c>
      <c r="C30" s="28" t="s">
        <v>400</v>
      </c>
      <c r="D30" s="28" t="s">
        <v>401</v>
      </c>
      <c r="E30" s="29">
        <v>12930</v>
      </c>
      <c r="F30" s="30">
        <v>141.00165000000001</v>
      </c>
      <c r="G30" s="31">
        <v>1.8786310000000001E-2</v>
      </c>
      <c r="H30" s="24" t="str">
        <f>IFERROR(VLOOKUP(B30,#REF!,12,FALSE),"")</f>
        <v/>
      </c>
    </row>
    <row r="31" spans="1:8" x14ac:dyDescent="0.2">
      <c r="A31" s="27">
        <v>25</v>
      </c>
      <c r="B31" s="28" t="s">
        <v>413</v>
      </c>
      <c r="C31" s="28" t="s">
        <v>414</v>
      </c>
      <c r="D31" s="28" t="s">
        <v>223</v>
      </c>
      <c r="E31" s="29">
        <v>18794</v>
      </c>
      <c r="F31" s="30">
        <v>136.41624899999999</v>
      </c>
      <c r="G31" s="31">
        <v>1.8175380000000001E-2</v>
      </c>
      <c r="H31" s="24" t="str">
        <f>IFERROR(VLOOKUP(B31,#REF!,12,FALSE),"")</f>
        <v/>
      </c>
    </row>
    <row r="32" spans="1:8" x14ac:dyDescent="0.2">
      <c r="A32" s="27">
        <v>26</v>
      </c>
      <c r="B32" s="28" t="s">
        <v>411</v>
      </c>
      <c r="C32" s="28" t="s">
        <v>412</v>
      </c>
      <c r="D32" s="28" t="s">
        <v>42</v>
      </c>
      <c r="E32" s="29">
        <v>28519</v>
      </c>
      <c r="F32" s="30">
        <v>134.752275</v>
      </c>
      <c r="G32" s="31">
        <v>1.795368E-2</v>
      </c>
      <c r="H32" s="24" t="str">
        <f>IFERROR(VLOOKUP(B32,#REF!,12,FALSE),"")</f>
        <v/>
      </c>
    </row>
    <row r="33" spans="1:8" x14ac:dyDescent="0.2">
      <c r="A33" s="27">
        <v>27</v>
      </c>
      <c r="B33" s="28" t="s">
        <v>244</v>
      </c>
      <c r="C33" s="28" t="s">
        <v>245</v>
      </c>
      <c r="D33" s="28" t="s">
        <v>120</v>
      </c>
      <c r="E33" s="29">
        <v>1412</v>
      </c>
      <c r="F33" s="30">
        <v>132.20061799999999</v>
      </c>
      <c r="G33" s="31">
        <v>1.7613710000000001E-2</v>
      </c>
      <c r="H33" s="24" t="str">
        <f>IFERROR(VLOOKUP(B33,#REF!,12,FALSE),"")</f>
        <v/>
      </c>
    </row>
    <row r="34" spans="1:8" x14ac:dyDescent="0.2">
      <c r="A34" s="27">
        <v>28</v>
      </c>
      <c r="B34" s="28" t="s">
        <v>317</v>
      </c>
      <c r="C34" s="28" t="s">
        <v>318</v>
      </c>
      <c r="D34" s="28" t="s">
        <v>120</v>
      </c>
      <c r="E34" s="29">
        <v>8289</v>
      </c>
      <c r="F34" s="30">
        <v>125.893332</v>
      </c>
      <c r="G34" s="31">
        <v>1.6773360000000001E-2</v>
      </c>
      <c r="H34" s="24" t="str">
        <f>IFERROR(VLOOKUP(B34,#REF!,12,FALSE),"")</f>
        <v/>
      </c>
    </row>
    <row r="35" spans="1:8" x14ac:dyDescent="0.2">
      <c r="A35" s="27">
        <v>29</v>
      </c>
      <c r="B35" s="28" t="s">
        <v>417</v>
      </c>
      <c r="C35" s="28" t="s">
        <v>418</v>
      </c>
      <c r="D35" s="28" t="s">
        <v>354</v>
      </c>
      <c r="E35" s="29">
        <v>26290</v>
      </c>
      <c r="F35" s="30">
        <v>111.614195</v>
      </c>
      <c r="G35" s="31">
        <v>1.487088E-2</v>
      </c>
      <c r="H35" s="24" t="str">
        <f>IFERROR(VLOOKUP(B35,#REF!,12,FALSE),"")</f>
        <v/>
      </c>
    </row>
    <row r="36" spans="1:8" x14ac:dyDescent="0.2">
      <c r="A36" s="27">
        <v>30</v>
      </c>
      <c r="B36" s="28" t="s">
        <v>457</v>
      </c>
      <c r="C36" s="28" t="s">
        <v>458</v>
      </c>
      <c r="D36" s="28" t="s">
        <v>42</v>
      </c>
      <c r="E36" s="29">
        <v>20968</v>
      </c>
      <c r="F36" s="30">
        <v>108.603756</v>
      </c>
      <c r="G36" s="31">
        <v>1.446979E-2</v>
      </c>
      <c r="H36" s="24" t="str">
        <f>IFERROR(VLOOKUP(B36,#REF!,12,FALSE),"")</f>
        <v/>
      </c>
    </row>
    <row r="37" spans="1:8" x14ac:dyDescent="0.2">
      <c r="A37" s="27">
        <v>31</v>
      </c>
      <c r="B37" s="28" t="s">
        <v>405</v>
      </c>
      <c r="C37" s="28" t="s">
        <v>406</v>
      </c>
      <c r="D37" s="28" t="s">
        <v>39</v>
      </c>
      <c r="E37" s="29">
        <v>11762</v>
      </c>
      <c r="F37" s="30">
        <v>94.642932999999999</v>
      </c>
      <c r="G37" s="31">
        <v>1.260972E-2</v>
      </c>
      <c r="H37" s="24" t="str">
        <f>IFERROR(VLOOKUP(B37,#REF!,12,FALSE),"")</f>
        <v/>
      </c>
    </row>
    <row r="38" spans="1:8" x14ac:dyDescent="0.2">
      <c r="A38" s="27">
        <v>32</v>
      </c>
      <c r="B38" s="28" t="s">
        <v>425</v>
      </c>
      <c r="C38" s="28" t="s">
        <v>426</v>
      </c>
      <c r="D38" s="28" t="s">
        <v>139</v>
      </c>
      <c r="E38" s="29">
        <v>56603</v>
      </c>
      <c r="F38" s="30">
        <v>76.198958599999997</v>
      </c>
      <c r="G38" s="31">
        <v>1.0152349999999999E-2</v>
      </c>
      <c r="H38" s="24" t="str">
        <f>IFERROR(VLOOKUP(B38,#REF!,12,FALSE),"")</f>
        <v/>
      </c>
    </row>
    <row r="39" spans="1:8" x14ac:dyDescent="0.2">
      <c r="A39" s="27">
        <v>33</v>
      </c>
      <c r="B39" s="28" t="s">
        <v>423</v>
      </c>
      <c r="C39" s="28" t="s">
        <v>424</v>
      </c>
      <c r="D39" s="28" t="s">
        <v>39</v>
      </c>
      <c r="E39" s="29">
        <v>11192</v>
      </c>
      <c r="F39" s="30">
        <v>69.412784000000002</v>
      </c>
      <c r="G39" s="31">
        <v>9.2481899999999999E-3</v>
      </c>
      <c r="H39" s="24" t="str">
        <f>IFERROR(VLOOKUP(B39,#REF!,12,FALSE),"")</f>
        <v/>
      </c>
    </row>
    <row r="40" spans="1:8" x14ac:dyDescent="0.2">
      <c r="A40" s="27">
        <v>34</v>
      </c>
      <c r="B40" s="28" t="s">
        <v>397</v>
      </c>
      <c r="C40" s="28" t="s">
        <v>398</v>
      </c>
      <c r="D40" s="28" t="s">
        <v>42</v>
      </c>
      <c r="E40" s="29">
        <v>5901</v>
      </c>
      <c r="F40" s="30">
        <v>58.827069000000002</v>
      </c>
      <c r="G40" s="31">
        <v>7.8378100000000006E-3</v>
      </c>
      <c r="H40" s="24" t="str">
        <f>IFERROR(VLOOKUP(B40,#REF!,12,FALSE),"")</f>
        <v/>
      </c>
    </row>
    <row r="41" spans="1:8" x14ac:dyDescent="0.2">
      <c r="A41" s="27">
        <v>35</v>
      </c>
      <c r="B41" s="28" t="s">
        <v>429</v>
      </c>
      <c r="C41" s="28" t="s">
        <v>430</v>
      </c>
      <c r="D41" s="28" t="s">
        <v>83</v>
      </c>
      <c r="E41" s="29">
        <v>8886</v>
      </c>
      <c r="F41" s="30">
        <v>38.565240000000003</v>
      </c>
      <c r="G41" s="31">
        <v>5.1382299999999997E-3</v>
      </c>
      <c r="H41" s="24" t="str">
        <f>IFERROR(VLOOKUP(B41,#REF!,12,FALSE),"")</f>
        <v/>
      </c>
    </row>
    <row r="42" spans="1:8" x14ac:dyDescent="0.2">
      <c r="A42" s="25"/>
      <c r="B42" s="25"/>
      <c r="C42" s="26" t="s">
        <v>145</v>
      </c>
      <c r="D42" s="25"/>
      <c r="E42" s="25" t="s">
        <v>146</v>
      </c>
      <c r="F42" s="32">
        <v>7308.7125827999998</v>
      </c>
      <c r="G42" s="33">
        <v>0.97377413000000002</v>
      </c>
      <c r="H42" s="24" t="str">
        <f>IFERROR(VLOOKUP(B42,#REF!,12,FALSE),"")</f>
        <v/>
      </c>
    </row>
    <row r="43" spans="1:8" x14ac:dyDescent="0.2">
      <c r="A43" s="25"/>
      <c r="B43" s="25"/>
      <c r="C43" s="34"/>
      <c r="D43" s="25"/>
      <c r="E43" s="25"/>
      <c r="F43" s="35"/>
      <c r="G43" s="35"/>
      <c r="H43" s="24" t="str">
        <f>IFERROR(VLOOKUP(B43,#REF!,12,FALSE),"")</f>
        <v/>
      </c>
    </row>
    <row r="44" spans="1:8" x14ac:dyDescent="0.2">
      <c r="A44" s="25"/>
      <c r="B44" s="25"/>
      <c r="C44" s="26" t="s">
        <v>147</v>
      </c>
      <c r="D44" s="25"/>
      <c r="E44" s="25"/>
      <c r="F44" s="25"/>
      <c r="G44" s="25"/>
      <c r="H44" s="24" t="str">
        <f>IFERROR(VLOOKUP(B44,#REF!,12,FALSE),"")</f>
        <v/>
      </c>
    </row>
    <row r="45" spans="1:8" x14ac:dyDescent="0.2">
      <c r="A45" s="25"/>
      <c r="B45" s="25"/>
      <c r="C45" s="26" t="s">
        <v>145</v>
      </c>
      <c r="D45" s="25"/>
      <c r="E45" s="25" t="s">
        <v>146</v>
      </c>
      <c r="F45" s="36" t="s">
        <v>148</v>
      </c>
      <c r="G45" s="33">
        <v>0</v>
      </c>
      <c r="H45" s="24" t="str">
        <f>IFERROR(VLOOKUP(B45,#REF!,12,FALSE),"")</f>
        <v/>
      </c>
    </row>
    <row r="46" spans="1:8" x14ac:dyDescent="0.2">
      <c r="A46" s="25"/>
      <c r="B46" s="25"/>
      <c r="C46" s="34"/>
      <c r="D46" s="25"/>
      <c r="E46" s="25"/>
      <c r="F46" s="35"/>
      <c r="G46" s="35"/>
      <c r="H46" s="24" t="str">
        <f>IFERROR(VLOOKUP(B46,#REF!,12,FALSE),"")</f>
        <v/>
      </c>
    </row>
    <row r="47" spans="1:8" x14ac:dyDescent="0.2">
      <c r="A47" s="25"/>
      <c r="B47" s="25"/>
      <c r="C47" s="26" t="s">
        <v>149</v>
      </c>
      <c r="D47" s="25"/>
      <c r="E47" s="25"/>
      <c r="F47" s="25"/>
      <c r="G47" s="25"/>
      <c r="H47" s="24" t="str">
        <f>IFERROR(VLOOKUP(B47,#REF!,12,FALSE),"")</f>
        <v/>
      </c>
    </row>
    <row r="48" spans="1:8" x14ac:dyDescent="0.2">
      <c r="A48" s="25"/>
      <c r="B48" s="25"/>
      <c r="C48" s="26" t="s">
        <v>145</v>
      </c>
      <c r="D48" s="25"/>
      <c r="E48" s="25" t="s">
        <v>146</v>
      </c>
      <c r="F48" s="36" t="s">
        <v>148</v>
      </c>
      <c r="G48" s="33">
        <v>0</v>
      </c>
      <c r="H48" s="24" t="str">
        <f>IFERROR(VLOOKUP(B48,#REF!,12,FALSE),"")</f>
        <v/>
      </c>
    </row>
    <row r="49" spans="1:8" x14ac:dyDescent="0.2">
      <c r="A49" s="25"/>
      <c r="B49" s="25"/>
      <c r="C49" s="34"/>
      <c r="D49" s="25"/>
      <c r="E49" s="25"/>
      <c r="F49" s="35"/>
      <c r="G49" s="35"/>
      <c r="H49" s="24" t="str">
        <f>IFERROR(VLOOKUP(B49,#REF!,12,FALSE),"")</f>
        <v/>
      </c>
    </row>
    <row r="50" spans="1:8" x14ac:dyDescent="0.2">
      <c r="A50" s="25"/>
      <c r="B50" s="25"/>
      <c r="C50" s="26" t="s">
        <v>150</v>
      </c>
      <c r="D50" s="25"/>
      <c r="E50" s="25"/>
      <c r="F50" s="25"/>
      <c r="G50" s="25"/>
      <c r="H50" s="24" t="str">
        <f>IFERROR(VLOOKUP(B50,#REF!,12,FALSE),"")</f>
        <v/>
      </c>
    </row>
    <row r="51" spans="1:8" x14ac:dyDescent="0.2">
      <c r="A51" s="25"/>
      <c r="B51" s="25"/>
      <c r="C51" s="26" t="s">
        <v>145</v>
      </c>
      <c r="D51" s="25"/>
      <c r="E51" s="25" t="s">
        <v>146</v>
      </c>
      <c r="F51" s="36" t="s">
        <v>148</v>
      </c>
      <c r="G51" s="33">
        <v>0</v>
      </c>
      <c r="H51" s="24" t="str">
        <f>IFERROR(VLOOKUP(B51,#REF!,12,FALSE),"")</f>
        <v/>
      </c>
    </row>
    <row r="52" spans="1:8" x14ac:dyDescent="0.2">
      <c r="A52" s="25"/>
      <c r="B52" s="25"/>
      <c r="C52" s="34"/>
      <c r="D52" s="25"/>
      <c r="E52" s="25"/>
      <c r="F52" s="35"/>
      <c r="G52" s="35"/>
      <c r="H52" s="24" t="str">
        <f>IFERROR(VLOOKUP(B52,#REF!,12,FALSE),"")</f>
        <v/>
      </c>
    </row>
    <row r="53" spans="1:8" x14ac:dyDescent="0.2">
      <c r="A53" s="25"/>
      <c r="B53" s="25"/>
      <c r="C53" s="26" t="s">
        <v>151</v>
      </c>
      <c r="D53" s="25"/>
      <c r="E53" s="25"/>
      <c r="F53" s="35"/>
      <c r="G53" s="35"/>
      <c r="H53" s="24" t="str">
        <f>IFERROR(VLOOKUP(B53,#REF!,12,FALSE),"")</f>
        <v/>
      </c>
    </row>
    <row r="54" spans="1:8" x14ac:dyDescent="0.2">
      <c r="A54" s="25"/>
      <c r="B54" s="25"/>
      <c r="C54" s="26" t="s">
        <v>145</v>
      </c>
      <c r="D54" s="25"/>
      <c r="E54" s="25" t="s">
        <v>146</v>
      </c>
      <c r="F54" s="36" t="s">
        <v>148</v>
      </c>
      <c r="G54" s="33">
        <v>0</v>
      </c>
      <c r="H54" s="24" t="str">
        <f>IFERROR(VLOOKUP(B54,#REF!,12,FALSE),"")</f>
        <v/>
      </c>
    </row>
    <row r="55" spans="1:8" x14ac:dyDescent="0.2">
      <c r="A55" s="25"/>
      <c r="B55" s="25"/>
      <c r="C55" s="34"/>
      <c r="D55" s="25"/>
      <c r="E55" s="25"/>
      <c r="F55" s="35"/>
      <c r="G55" s="35"/>
      <c r="H55" s="24" t="str">
        <f>IFERROR(VLOOKUP(B55,#REF!,12,FALSE),"")</f>
        <v/>
      </c>
    </row>
    <row r="56" spans="1:8" x14ac:dyDescent="0.2">
      <c r="A56" s="25"/>
      <c r="B56" s="25"/>
      <c r="C56" s="26" t="s">
        <v>152</v>
      </c>
      <c r="D56" s="25"/>
      <c r="E56" s="25"/>
      <c r="F56" s="35"/>
      <c r="G56" s="35"/>
      <c r="H56" s="24" t="str">
        <f>IFERROR(VLOOKUP(B56,#REF!,12,FALSE),"")</f>
        <v/>
      </c>
    </row>
    <row r="57" spans="1:8" x14ac:dyDescent="0.2">
      <c r="A57" s="25"/>
      <c r="B57" s="25"/>
      <c r="C57" s="26" t="s">
        <v>145</v>
      </c>
      <c r="D57" s="25"/>
      <c r="E57" s="25" t="s">
        <v>146</v>
      </c>
      <c r="F57" s="36" t="s">
        <v>148</v>
      </c>
      <c r="G57" s="33">
        <v>0</v>
      </c>
      <c r="H57" s="24" t="str">
        <f>IFERROR(VLOOKUP(B57,#REF!,12,FALSE),"")</f>
        <v/>
      </c>
    </row>
    <row r="58" spans="1:8" x14ac:dyDescent="0.2">
      <c r="A58" s="25"/>
      <c r="B58" s="25"/>
      <c r="C58" s="34"/>
      <c r="D58" s="25"/>
      <c r="E58" s="25"/>
      <c r="F58" s="35"/>
      <c r="G58" s="35"/>
      <c r="H58" s="24" t="str">
        <f>IFERROR(VLOOKUP(B58,#REF!,12,FALSE),"")</f>
        <v/>
      </c>
    </row>
    <row r="59" spans="1:8" x14ac:dyDescent="0.2">
      <c r="A59" s="25"/>
      <c r="B59" s="25"/>
      <c r="C59" s="26" t="s">
        <v>153</v>
      </c>
      <c r="D59" s="25"/>
      <c r="E59" s="25"/>
      <c r="F59" s="32">
        <v>7308.7125827999998</v>
      </c>
      <c r="G59" s="33">
        <v>0.97377413000000002</v>
      </c>
      <c r="H59" s="24" t="str">
        <f>IFERROR(VLOOKUP(B59,#REF!,12,FALSE),"")</f>
        <v/>
      </c>
    </row>
    <row r="60" spans="1:8" x14ac:dyDescent="0.2">
      <c r="A60" s="25"/>
      <c r="B60" s="25"/>
      <c r="C60" s="34"/>
      <c r="D60" s="25"/>
      <c r="E60" s="25"/>
      <c r="F60" s="35"/>
      <c r="G60" s="35"/>
      <c r="H60" s="24" t="str">
        <f>IFERROR(VLOOKUP(B60,#REF!,12,FALSE),"")</f>
        <v/>
      </c>
    </row>
    <row r="61" spans="1:8" x14ac:dyDescent="0.2">
      <c r="A61" s="25"/>
      <c r="B61" s="25"/>
      <c r="C61" s="26" t="s">
        <v>154</v>
      </c>
      <c r="D61" s="25"/>
      <c r="E61" s="25"/>
      <c r="F61" s="35"/>
      <c r="G61" s="35"/>
      <c r="H61" s="24" t="str">
        <f>IFERROR(VLOOKUP(B61,#REF!,12,FALSE),"")</f>
        <v/>
      </c>
    </row>
    <row r="62" spans="1:8" x14ac:dyDescent="0.2">
      <c r="A62" s="25"/>
      <c r="B62" s="25"/>
      <c r="C62" s="26" t="s">
        <v>10</v>
      </c>
      <c r="D62" s="25"/>
      <c r="E62" s="25"/>
      <c r="F62" s="35"/>
      <c r="G62" s="35"/>
      <c r="H62" s="24" t="str">
        <f>IFERROR(VLOOKUP(B62,#REF!,12,FALSE),"")</f>
        <v/>
      </c>
    </row>
    <row r="63" spans="1:8" x14ac:dyDescent="0.2">
      <c r="A63" s="25"/>
      <c r="B63" s="25"/>
      <c r="C63" s="26" t="s">
        <v>145</v>
      </c>
      <c r="D63" s="25"/>
      <c r="E63" s="25" t="s">
        <v>146</v>
      </c>
      <c r="F63" s="36" t="s">
        <v>148</v>
      </c>
      <c r="G63" s="33">
        <v>0</v>
      </c>
      <c r="H63" s="24" t="str">
        <f>IFERROR(VLOOKUP(B63,#REF!,12,FALSE),"")</f>
        <v/>
      </c>
    </row>
    <row r="64" spans="1:8" x14ac:dyDescent="0.2">
      <c r="A64" s="25"/>
      <c r="B64" s="25"/>
      <c r="C64" s="34"/>
      <c r="D64" s="25"/>
      <c r="E64" s="25"/>
      <c r="F64" s="35"/>
      <c r="G64" s="35"/>
      <c r="H64" s="24" t="str">
        <f>IFERROR(VLOOKUP(B64,#REF!,12,FALSE),"")</f>
        <v/>
      </c>
    </row>
    <row r="65" spans="1:8" x14ac:dyDescent="0.2">
      <c r="A65" s="25"/>
      <c r="B65" s="25"/>
      <c r="C65" s="26" t="s">
        <v>155</v>
      </c>
      <c r="D65" s="25"/>
      <c r="E65" s="25"/>
      <c r="F65" s="25"/>
      <c r="G65" s="25"/>
      <c r="H65" s="24" t="str">
        <f>IFERROR(VLOOKUP(B65,#REF!,12,FALSE),"")</f>
        <v/>
      </c>
    </row>
    <row r="66" spans="1:8" x14ac:dyDescent="0.2">
      <c r="A66" s="25"/>
      <c r="B66" s="25"/>
      <c r="C66" s="26" t="s">
        <v>145</v>
      </c>
      <c r="D66" s="25"/>
      <c r="E66" s="25" t="s">
        <v>146</v>
      </c>
      <c r="F66" s="36" t="s">
        <v>148</v>
      </c>
      <c r="G66" s="33">
        <v>0</v>
      </c>
      <c r="H66" s="24" t="str">
        <f>IFERROR(VLOOKUP(B66,#REF!,12,FALSE),"")</f>
        <v/>
      </c>
    </row>
    <row r="67" spans="1:8" x14ac:dyDescent="0.2">
      <c r="A67" s="25"/>
      <c r="B67" s="25"/>
      <c r="C67" s="34"/>
      <c r="D67" s="25"/>
      <c r="E67" s="25"/>
      <c r="F67" s="35"/>
      <c r="G67" s="35"/>
      <c r="H67" s="24" t="str">
        <f>IFERROR(VLOOKUP(B67,#REF!,12,FALSE),"")</f>
        <v/>
      </c>
    </row>
    <row r="68" spans="1:8" x14ac:dyDescent="0.2">
      <c r="A68" s="25"/>
      <c r="B68" s="25"/>
      <c r="C68" s="26" t="s">
        <v>156</v>
      </c>
      <c r="D68" s="25"/>
      <c r="E68" s="25"/>
      <c r="F68" s="25"/>
      <c r="G68" s="25"/>
      <c r="H68" s="24" t="str">
        <f>IFERROR(VLOOKUP(B68,#REF!,12,FALSE),"")</f>
        <v/>
      </c>
    </row>
    <row r="69" spans="1:8" x14ac:dyDescent="0.2">
      <c r="A69" s="25"/>
      <c r="B69" s="25"/>
      <c r="C69" s="26" t="s">
        <v>145</v>
      </c>
      <c r="D69" s="25"/>
      <c r="E69" s="25" t="s">
        <v>146</v>
      </c>
      <c r="F69" s="36" t="s">
        <v>148</v>
      </c>
      <c r="G69" s="33">
        <v>0</v>
      </c>
      <c r="H69" s="24" t="str">
        <f>IFERROR(VLOOKUP(B69,#REF!,12,FALSE),"")</f>
        <v/>
      </c>
    </row>
    <row r="70" spans="1:8" x14ac:dyDescent="0.2">
      <c r="A70" s="25"/>
      <c r="B70" s="25"/>
      <c r="C70" s="34"/>
      <c r="D70" s="25"/>
      <c r="E70" s="25"/>
      <c r="F70" s="35"/>
      <c r="G70" s="35"/>
      <c r="H70" s="24" t="str">
        <f>IFERROR(VLOOKUP(B70,#REF!,12,FALSE),"")</f>
        <v/>
      </c>
    </row>
    <row r="71" spans="1:8" x14ac:dyDescent="0.2">
      <c r="A71" s="25"/>
      <c r="B71" s="25"/>
      <c r="C71" s="26" t="s">
        <v>157</v>
      </c>
      <c r="D71" s="25"/>
      <c r="E71" s="25"/>
      <c r="F71" s="35"/>
      <c r="G71" s="35"/>
      <c r="H71" s="24" t="str">
        <f>IFERROR(VLOOKUP(B71,#REF!,12,FALSE),"")</f>
        <v/>
      </c>
    </row>
    <row r="72" spans="1:8" x14ac:dyDescent="0.2">
      <c r="A72" s="25"/>
      <c r="B72" s="25"/>
      <c r="C72" s="26" t="s">
        <v>145</v>
      </c>
      <c r="D72" s="25"/>
      <c r="E72" s="25" t="s">
        <v>146</v>
      </c>
      <c r="F72" s="36" t="s">
        <v>148</v>
      </c>
      <c r="G72" s="33">
        <v>0</v>
      </c>
      <c r="H72" s="24" t="str">
        <f>IFERROR(VLOOKUP(B72,#REF!,12,FALSE),"")</f>
        <v/>
      </c>
    </row>
    <row r="73" spans="1:8" x14ac:dyDescent="0.2">
      <c r="A73" s="25"/>
      <c r="B73" s="25"/>
      <c r="C73" s="34"/>
      <c r="D73" s="25"/>
      <c r="E73" s="25"/>
      <c r="F73" s="35"/>
      <c r="G73" s="35"/>
      <c r="H73" s="24" t="str">
        <f>IFERROR(VLOOKUP(B73,#REF!,12,FALSE),"")</f>
        <v/>
      </c>
    </row>
    <row r="74" spans="1:8" x14ac:dyDescent="0.2">
      <c r="A74" s="25"/>
      <c r="B74" s="25"/>
      <c r="C74" s="26" t="s">
        <v>158</v>
      </c>
      <c r="D74" s="25"/>
      <c r="E74" s="25"/>
      <c r="F74" s="32">
        <v>0</v>
      </c>
      <c r="G74" s="33">
        <v>0</v>
      </c>
      <c r="H74" s="24" t="str">
        <f>IFERROR(VLOOKUP(B74,#REF!,12,FALSE),"")</f>
        <v/>
      </c>
    </row>
    <row r="75" spans="1:8" x14ac:dyDescent="0.2">
      <c r="A75" s="25"/>
      <c r="B75" s="25"/>
      <c r="C75" s="34"/>
      <c r="D75" s="25"/>
      <c r="E75" s="25"/>
      <c r="F75" s="35"/>
      <c r="G75" s="35"/>
      <c r="H75" s="24" t="str">
        <f>IFERROR(VLOOKUP(B75,#REF!,12,FALSE),"")</f>
        <v/>
      </c>
    </row>
    <row r="76" spans="1:8" x14ac:dyDescent="0.2">
      <c r="A76" s="25"/>
      <c r="B76" s="25"/>
      <c r="C76" s="26" t="s">
        <v>159</v>
      </c>
      <c r="D76" s="25"/>
      <c r="E76" s="25"/>
      <c r="F76" s="35"/>
      <c r="G76" s="35"/>
      <c r="H76" s="24" t="str">
        <f>IFERROR(VLOOKUP(B76,#REF!,12,FALSE),"")</f>
        <v/>
      </c>
    </row>
    <row r="77" spans="1:8" x14ac:dyDescent="0.2">
      <c r="A77" s="25"/>
      <c r="B77" s="25"/>
      <c r="C77" s="26" t="s">
        <v>160</v>
      </c>
      <c r="D77" s="25"/>
      <c r="E77" s="25"/>
      <c r="F77" s="35"/>
      <c r="G77" s="35"/>
      <c r="H77" s="24" t="str">
        <f>IFERROR(VLOOKUP(B77,#REF!,12,FALSE),"")</f>
        <v/>
      </c>
    </row>
    <row r="78" spans="1:8" x14ac:dyDescent="0.2">
      <c r="A78" s="25"/>
      <c r="B78" s="25"/>
      <c r="C78" s="26" t="s">
        <v>145</v>
      </c>
      <c r="D78" s="25"/>
      <c r="E78" s="25" t="s">
        <v>146</v>
      </c>
      <c r="F78" s="36" t="s">
        <v>148</v>
      </c>
      <c r="G78" s="33">
        <v>0</v>
      </c>
      <c r="H78" s="24" t="str">
        <f>IFERROR(VLOOKUP(B78,#REF!,12,FALSE),"")</f>
        <v/>
      </c>
    </row>
    <row r="79" spans="1:8" x14ac:dyDescent="0.2">
      <c r="A79" s="25"/>
      <c r="B79" s="25"/>
      <c r="C79" s="34"/>
      <c r="D79" s="25"/>
      <c r="E79" s="25"/>
      <c r="F79" s="35"/>
      <c r="G79" s="35"/>
      <c r="H79" s="24" t="str">
        <f>IFERROR(VLOOKUP(B79,#REF!,12,FALSE),"")</f>
        <v/>
      </c>
    </row>
    <row r="80" spans="1:8" x14ac:dyDescent="0.2">
      <c r="A80" s="25"/>
      <c r="B80" s="25"/>
      <c r="C80" s="26" t="s">
        <v>161</v>
      </c>
      <c r="D80" s="25"/>
      <c r="E80" s="25"/>
      <c r="F80" s="35"/>
      <c r="G80" s="35"/>
      <c r="H80" s="24" t="str">
        <f>IFERROR(VLOOKUP(B80,#REF!,12,FALSE),"")</f>
        <v/>
      </c>
    </row>
    <row r="81" spans="1:8" x14ac:dyDescent="0.2">
      <c r="A81" s="25"/>
      <c r="B81" s="25"/>
      <c r="C81" s="26" t="s">
        <v>145</v>
      </c>
      <c r="D81" s="25"/>
      <c r="E81" s="25" t="s">
        <v>146</v>
      </c>
      <c r="F81" s="36" t="s">
        <v>148</v>
      </c>
      <c r="G81" s="33">
        <v>0</v>
      </c>
      <c r="H81" s="24" t="str">
        <f>IFERROR(VLOOKUP(B81,#REF!,12,FALSE),"")</f>
        <v/>
      </c>
    </row>
    <row r="82" spans="1:8" x14ac:dyDescent="0.2">
      <c r="A82" s="25"/>
      <c r="B82" s="25"/>
      <c r="C82" s="34"/>
      <c r="D82" s="25"/>
      <c r="E82" s="25"/>
      <c r="F82" s="35"/>
      <c r="G82" s="35"/>
      <c r="H82" s="24" t="str">
        <f>IFERROR(VLOOKUP(B82,#REF!,12,FALSE),"")</f>
        <v/>
      </c>
    </row>
    <row r="83" spans="1:8" x14ac:dyDescent="0.2">
      <c r="A83" s="25"/>
      <c r="B83" s="25"/>
      <c r="C83" s="26" t="s">
        <v>162</v>
      </c>
      <c r="D83" s="25"/>
      <c r="E83" s="25"/>
      <c r="F83" s="35"/>
      <c r="G83" s="35"/>
      <c r="H83" s="24" t="str">
        <f>IFERROR(VLOOKUP(B83,#REF!,12,FALSE),"")</f>
        <v/>
      </c>
    </row>
    <row r="84" spans="1:8" x14ac:dyDescent="0.2">
      <c r="A84" s="25"/>
      <c r="B84" s="25"/>
      <c r="C84" s="26" t="s">
        <v>145</v>
      </c>
      <c r="D84" s="25"/>
      <c r="E84" s="25" t="s">
        <v>146</v>
      </c>
      <c r="F84" s="36" t="s">
        <v>148</v>
      </c>
      <c r="G84" s="33">
        <v>0</v>
      </c>
      <c r="H84" s="24" t="str">
        <f>IFERROR(VLOOKUP(B84,#REF!,12,FALSE),"")</f>
        <v/>
      </c>
    </row>
    <row r="85" spans="1:8" x14ac:dyDescent="0.2">
      <c r="A85" s="25"/>
      <c r="B85" s="25"/>
      <c r="C85" s="34"/>
      <c r="D85" s="25"/>
      <c r="E85" s="25"/>
      <c r="F85" s="35"/>
      <c r="G85" s="35"/>
      <c r="H85" s="24" t="str">
        <f>IFERROR(VLOOKUP(B85,#REF!,12,FALSE),"")</f>
        <v/>
      </c>
    </row>
    <row r="86" spans="1:8" x14ac:dyDescent="0.2">
      <c r="A86" s="25"/>
      <c r="B86" s="25"/>
      <c r="C86" s="26" t="s">
        <v>163</v>
      </c>
      <c r="D86" s="25"/>
      <c r="E86" s="25"/>
      <c r="F86" s="35"/>
      <c r="G86" s="35"/>
      <c r="H86" s="24" t="str">
        <f>IFERROR(VLOOKUP(B86,#REF!,12,FALSE),"")</f>
        <v/>
      </c>
    </row>
    <row r="87" spans="1:8" x14ac:dyDescent="0.2">
      <c r="A87" s="27">
        <v>1</v>
      </c>
      <c r="B87" s="28"/>
      <c r="C87" s="28" t="s">
        <v>164</v>
      </c>
      <c r="D87" s="28"/>
      <c r="E87" s="38"/>
      <c r="F87" s="30">
        <v>210.46574159900001</v>
      </c>
      <c r="G87" s="31">
        <v>2.8041340000000001E-2</v>
      </c>
      <c r="H87" s="24">
        <v>6.57</v>
      </c>
    </row>
    <row r="88" spans="1:8" x14ac:dyDescent="0.2">
      <c r="A88" s="25"/>
      <c r="B88" s="25"/>
      <c r="C88" s="26" t="s">
        <v>145</v>
      </c>
      <c r="D88" s="25"/>
      <c r="E88" s="25" t="s">
        <v>146</v>
      </c>
      <c r="F88" s="32">
        <v>210.46574159900001</v>
      </c>
      <c r="G88" s="33">
        <v>2.8041340000000001E-2</v>
      </c>
      <c r="H88" s="24" t="str">
        <f>IFERROR(VLOOKUP(B88,#REF!,12,FALSE),"")</f>
        <v/>
      </c>
    </row>
    <row r="89" spans="1:8" x14ac:dyDescent="0.2">
      <c r="A89" s="25"/>
      <c r="B89" s="25"/>
      <c r="C89" s="34"/>
      <c r="D89" s="25"/>
      <c r="E89" s="25"/>
      <c r="F89" s="35"/>
      <c r="G89" s="35"/>
      <c r="H89" s="24" t="str">
        <f>IFERROR(VLOOKUP(B89,#REF!,12,FALSE),"")</f>
        <v/>
      </c>
    </row>
    <row r="90" spans="1:8" x14ac:dyDescent="0.2">
      <c r="A90" s="25"/>
      <c r="B90" s="25"/>
      <c r="C90" s="26" t="s">
        <v>165</v>
      </c>
      <c r="D90" s="25"/>
      <c r="E90" s="25"/>
      <c r="F90" s="32">
        <v>210.46574159900001</v>
      </c>
      <c r="G90" s="33">
        <v>2.8041340000000001E-2</v>
      </c>
      <c r="H90" s="24" t="str">
        <f>IFERROR(VLOOKUP(B90,#REF!,12,FALSE),"")</f>
        <v/>
      </c>
    </row>
    <row r="91" spans="1:8" x14ac:dyDescent="0.2">
      <c r="A91" s="25"/>
      <c r="B91" s="25"/>
      <c r="C91" s="35"/>
      <c r="D91" s="25"/>
      <c r="E91" s="25"/>
      <c r="F91" s="25"/>
      <c r="G91" s="25"/>
      <c r="H91" s="24" t="str">
        <f>IFERROR(VLOOKUP(B91,#REF!,12,FALSE),"")</f>
        <v/>
      </c>
    </row>
    <row r="92" spans="1:8" x14ac:dyDescent="0.2">
      <c r="A92" s="25"/>
      <c r="B92" s="25"/>
      <c r="C92" s="26" t="s">
        <v>166</v>
      </c>
      <c r="D92" s="25"/>
      <c r="E92" s="25"/>
      <c r="F92" s="25"/>
      <c r="G92" s="25"/>
      <c r="H92" s="24" t="str">
        <f>IFERROR(VLOOKUP(B92,#REF!,12,FALSE),"")</f>
        <v/>
      </c>
    </row>
    <row r="93" spans="1:8" x14ac:dyDescent="0.2">
      <c r="A93" s="25"/>
      <c r="B93" s="25"/>
      <c r="C93" s="26" t="s">
        <v>167</v>
      </c>
      <c r="D93" s="25"/>
      <c r="E93" s="25"/>
      <c r="F93" s="25"/>
      <c r="G93" s="25"/>
      <c r="H93" s="24" t="str">
        <f>IFERROR(VLOOKUP(B93,#REF!,12,FALSE),"")</f>
        <v/>
      </c>
    </row>
    <row r="94" spans="1:8" x14ac:dyDescent="0.2">
      <c r="A94" s="25"/>
      <c r="B94" s="25"/>
      <c r="C94" s="26" t="s">
        <v>145</v>
      </c>
      <c r="D94" s="25"/>
      <c r="E94" s="25" t="s">
        <v>146</v>
      </c>
      <c r="F94" s="36" t="s">
        <v>148</v>
      </c>
      <c r="G94" s="33">
        <v>0</v>
      </c>
      <c r="H94" s="24" t="str">
        <f>IFERROR(VLOOKUP(B94,#REF!,12,FALSE),"")</f>
        <v/>
      </c>
    </row>
    <row r="95" spans="1:8" x14ac:dyDescent="0.2">
      <c r="A95" s="25"/>
      <c r="B95" s="25"/>
      <c r="C95" s="34"/>
      <c r="D95" s="25"/>
      <c r="E95" s="25"/>
      <c r="F95" s="35"/>
      <c r="G95" s="35"/>
      <c r="H95" s="24" t="str">
        <f>IFERROR(VLOOKUP(B95,#REF!,12,FALSE),"")</f>
        <v/>
      </c>
    </row>
    <row r="96" spans="1:8" x14ac:dyDescent="0.2">
      <c r="A96" s="25"/>
      <c r="B96" s="25"/>
      <c r="C96" s="26" t="s">
        <v>168</v>
      </c>
      <c r="D96" s="25"/>
      <c r="E96" s="25"/>
      <c r="F96" s="25"/>
      <c r="G96" s="25"/>
      <c r="H96" s="24" t="str">
        <f>IFERROR(VLOOKUP(B96,#REF!,12,FALSE),"")</f>
        <v/>
      </c>
    </row>
    <row r="97" spans="1:17" x14ac:dyDescent="0.2">
      <c r="A97" s="25"/>
      <c r="B97" s="25"/>
      <c r="C97" s="26" t="s">
        <v>169</v>
      </c>
      <c r="D97" s="25"/>
      <c r="E97" s="25"/>
      <c r="F97" s="25"/>
      <c r="G97" s="25"/>
      <c r="H97" s="24" t="str">
        <f>IFERROR(VLOOKUP(B97,#REF!,12,FALSE),"")</f>
        <v/>
      </c>
    </row>
    <row r="98" spans="1:17" x14ac:dyDescent="0.2">
      <c r="A98" s="25"/>
      <c r="B98" s="25"/>
      <c r="C98" s="26" t="s">
        <v>145</v>
      </c>
      <c r="D98" s="25"/>
      <c r="E98" s="25" t="s">
        <v>146</v>
      </c>
      <c r="F98" s="36" t="s">
        <v>148</v>
      </c>
      <c r="G98" s="33">
        <v>0</v>
      </c>
      <c r="H98" s="24" t="str">
        <f>IFERROR(VLOOKUP(B98,#REF!,12,FALSE),"")</f>
        <v/>
      </c>
    </row>
    <row r="99" spans="1:17" x14ac:dyDescent="0.2">
      <c r="A99" s="25"/>
      <c r="B99" s="25"/>
      <c r="C99" s="34"/>
      <c r="D99" s="25"/>
      <c r="E99" s="25"/>
      <c r="F99" s="35"/>
      <c r="G99" s="35"/>
      <c r="H99" s="24" t="str">
        <f>IFERROR(VLOOKUP(B99,#REF!,12,FALSE),"")</f>
        <v/>
      </c>
    </row>
    <row r="100" spans="1:17" x14ac:dyDescent="0.2">
      <c r="A100" s="25"/>
      <c r="B100" s="25"/>
      <c r="C100" s="26" t="s">
        <v>170</v>
      </c>
      <c r="D100" s="25"/>
      <c r="E100" s="25"/>
      <c r="F100" s="35"/>
      <c r="G100" s="35"/>
      <c r="H100" s="24" t="str">
        <f>IFERROR(VLOOKUP(B100,#REF!,12,FALSE),"")</f>
        <v/>
      </c>
    </row>
    <row r="101" spans="1:17" x14ac:dyDescent="0.2">
      <c r="A101" s="25"/>
      <c r="B101" s="25"/>
      <c r="C101" s="26" t="s">
        <v>145</v>
      </c>
      <c r="D101" s="25"/>
      <c r="E101" s="25" t="s">
        <v>146</v>
      </c>
      <c r="F101" s="36" t="s">
        <v>148</v>
      </c>
      <c r="G101" s="33">
        <v>0</v>
      </c>
      <c r="H101" s="24" t="str">
        <f>IFERROR(VLOOKUP(B101,#REF!,12,FALSE),"")</f>
        <v/>
      </c>
    </row>
    <row r="102" spans="1:17" x14ac:dyDescent="0.2">
      <c r="A102" s="25"/>
      <c r="B102" s="25"/>
      <c r="C102" s="34"/>
      <c r="D102" s="25"/>
      <c r="E102" s="25"/>
      <c r="F102" s="35"/>
      <c r="G102" s="35"/>
      <c r="H102" s="24" t="str">
        <f>IFERROR(VLOOKUP(B102,#REF!,12,FALSE),"")</f>
        <v/>
      </c>
    </row>
    <row r="103" spans="1:17" x14ac:dyDescent="0.2">
      <c r="A103" s="38"/>
      <c r="B103" s="28"/>
      <c r="C103" s="28" t="s">
        <v>171</v>
      </c>
      <c r="D103" s="28"/>
      <c r="E103" s="38"/>
      <c r="F103" s="30">
        <v>-13.62599518</v>
      </c>
      <c r="G103" s="31">
        <v>-1.8154600000000001E-3</v>
      </c>
      <c r="H103" s="24" t="str">
        <f>IFERROR(VLOOKUP(B103,#REF!,12,FALSE),"")</f>
        <v/>
      </c>
    </row>
    <row r="104" spans="1:17" x14ac:dyDescent="0.2">
      <c r="A104" s="34"/>
      <c r="B104" s="34"/>
      <c r="C104" s="26" t="s">
        <v>172</v>
      </c>
      <c r="D104" s="35"/>
      <c r="E104" s="35"/>
      <c r="F104" s="32">
        <v>7505.5523292190001</v>
      </c>
      <c r="G104" s="39">
        <v>1.0000000099999999</v>
      </c>
      <c r="H104" s="24" t="str">
        <f>IFERROR(VLOOKUP(B104,#REF!,12,FALSE),"")</f>
        <v/>
      </c>
    </row>
    <row r="105" spans="1:17" x14ac:dyDescent="0.2">
      <c r="A105" s="40"/>
      <c r="B105" s="40"/>
      <c r="C105" s="40"/>
      <c r="D105" s="41"/>
      <c r="E105" s="41"/>
      <c r="F105" s="41"/>
      <c r="G105" s="41"/>
    </row>
    <row r="106" spans="1:17" x14ac:dyDescent="0.2">
      <c r="A106" s="42"/>
      <c r="B106" s="236" t="s">
        <v>858</v>
      </c>
      <c r="C106" s="236"/>
      <c r="D106" s="236"/>
      <c r="E106" s="236"/>
      <c r="F106" s="236"/>
      <c r="G106" s="236"/>
      <c r="H106" s="236"/>
      <c r="J106" s="44"/>
    </row>
    <row r="107" spans="1:17" x14ac:dyDescent="0.2">
      <c r="A107" s="42"/>
      <c r="B107" s="236" t="s">
        <v>859</v>
      </c>
      <c r="C107" s="236"/>
      <c r="D107" s="236"/>
      <c r="E107" s="236"/>
      <c r="F107" s="236"/>
      <c r="G107" s="236"/>
      <c r="H107" s="236"/>
      <c r="J107" s="44"/>
    </row>
    <row r="108" spans="1:17" x14ac:dyDescent="0.2">
      <c r="A108" s="42"/>
      <c r="B108" s="236" t="s">
        <v>860</v>
      </c>
      <c r="C108" s="236"/>
      <c r="D108" s="236"/>
      <c r="E108" s="236"/>
      <c r="F108" s="236"/>
      <c r="G108" s="236"/>
      <c r="H108" s="236"/>
      <c r="J108" s="44"/>
    </row>
    <row r="109" spans="1:17" s="46" customFormat="1" ht="66.75" customHeight="1" x14ac:dyDescent="0.25">
      <c r="A109" s="45"/>
      <c r="B109" s="237" t="s">
        <v>861</v>
      </c>
      <c r="C109" s="237"/>
      <c r="D109" s="237"/>
      <c r="E109" s="237"/>
      <c r="F109" s="237"/>
      <c r="G109" s="237"/>
      <c r="H109" s="237"/>
      <c r="I109"/>
      <c r="J109" s="44"/>
      <c r="K109"/>
      <c r="L109"/>
      <c r="M109"/>
      <c r="N109"/>
      <c r="O109"/>
      <c r="P109"/>
      <c r="Q109"/>
    </row>
    <row r="110" spans="1:17" x14ac:dyDescent="0.2">
      <c r="A110" s="42"/>
      <c r="B110" s="236" t="s">
        <v>862</v>
      </c>
      <c r="C110" s="236"/>
      <c r="D110" s="236"/>
      <c r="E110" s="236"/>
      <c r="F110" s="236"/>
      <c r="G110" s="236"/>
      <c r="H110" s="236"/>
      <c r="J110" s="44"/>
    </row>
    <row r="111" spans="1:17" x14ac:dyDescent="0.2">
      <c r="A111" s="47"/>
      <c r="B111" s="47"/>
      <c r="C111" s="47"/>
      <c r="D111" s="48"/>
      <c r="E111" s="48"/>
      <c r="F111" s="48"/>
      <c r="G111" s="48"/>
    </row>
    <row r="112" spans="1:17" x14ac:dyDescent="0.2">
      <c r="A112" s="47"/>
      <c r="B112" s="233" t="s">
        <v>173</v>
      </c>
      <c r="C112" s="234"/>
      <c r="D112" s="235"/>
      <c r="E112" s="49"/>
      <c r="F112" s="48"/>
      <c r="G112" s="48"/>
    </row>
    <row r="113" spans="1:10" ht="25.5" customHeight="1" x14ac:dyDescent="0.2">
      <c r="A113" s="47"/>
      <c r="B113" s="231" t="s">
        <v>174</v>
      </c>
      <c r="C113" s="232"/>
      <c r="D113" s="26" t="s">
        <v>175</v>
      </c>
      <c r="E113" s="49"/>
      <c r="F113" s="48"/>
      <c r="G113" s="48"/>
    </row>
    <row r="114" spans="1:10" ht="12.75" customHeight="1" x14ac:dyDescent="0.2">
      <c r="A114" s="42"/>
      <c r="B114" s="227" t="s">
        <v>863</v>
      </c>
      <c r="C114" s="228"/>
      <c r="D114" s="50" t="s">
        <v>175</v>
      </c>
      <c r="E114" s="51"/>
      <c r="F114" s="52"/>
      <c r="G114" s="52"/>
    </row>
    <row r="115" spans="1:10" x14ac:dyDescent="0.2">
      <c r="A115" s="47"/>
      <c r="B115" s="231" t="s">
        <v>176</v>
      </c>
      <c r="C115" s="232"/>
      <c r="D115" s="35" t="s">
        <v>146</v>
      </c>
      <c r="E115" s="49"/>
      <c r="F115" s="48"/>
      <c r="G115" s="48"/>
    </row>
    <row r="116" spans="1:10" x14ac:dyDescent="0.2">
      <c r="A116" s="53"/>
      <c r="B116" s="54" t="s">
        <v>146</v>
      </c>
      <c r="C116" s="54" t="s">
        <v>864</v>
      </c>
      <c r="D116" s="54" t="s">
        <v>177</v>
      </c>
      <c r="E116" s="53"/>
      <c r="F116" s="53"/>
      <c r="G116" s="53"/>
      <c r="H116" s="44"/>
      <c r="J116" s="44"/>
    </row>
    <row r="117" spans="1:10" x14ac:dyDescent="0.2">
      <c r="A117" s="53"/>
      <c r="B117" s="55" t="s">
        <v>178</v>
      </c>
      <c r="C117" s="56">
        <v>45657</v>
      </c>
      <c r="D117" s="56">
        <v>45688</v>
      </c>
      <c r="E117" s="53"/>
      <c r="F117" s="53"/>
      <c r="G117" s="53"/>
      <c r="H117" s="44"/>
      <c r="J117" s="44"/>
    </row>
    <row r="118" spans="1:10" x14ac:dyDescent="0.2">
      <c r="A118" s="57"/>
      <c r="B118" s="28" t="s">
        <v>179</v>
      </c>
      <c r="C118" s="58">
        <v>33.905999999999999</v>
      </c>
      <c r="D118" s="58">
        <v>31.802499999999998</v>
      </c>
      <c r="E118" s="57"/>
      <c r="F118" s="59"/>
      <c r="G118" s="60"/>
    </row>
    <row r="119" spans="1:10" x14ac:dyDescent="0.2">
      <c r="A119" s="57"/>
      <c r="B119" s="28" t="s">
        <v>1025</v>
      </c>
      <c r="C119" s="58">
        <v>29.734300000000001</v>
      </c>
      <c r="D119" s="58">
        <v>27.889700000000001</v>
      </c>
      <c r="E119" s="57"/>
      <c r="F119" s="59"/>
      <c r="G119" s="60"/>
    </row>
    <row r="120" spans="1:10" x14ac:dyDescent="0.2">
      <c r="A120" s="57"/>
      <c r="B120" s="28" t="s">
        <v>180</v>
      </c>
      <c r="C120" s="58">
        <v>32.958300000000001</v>
      </c>
      <c r="D120" s="58">
        <v>30.908899999999999</v>
      </c>
      <c r="E120" s="57"/>
      <c r="F120" s="59"/>
      <c r="G120" s="60"/>
    </row>
    <row r="121" spans="1:10" x14ac:dyDescent="0.2">
      <c r="A121" s="57"/>
      <c r="B121" s="28" t="s">
        <v>1026</v>
      </c>
      <c r="C121" s="58">
        <v>28.835999999999999</v>
      </c>
      <c r="D121" s="58">
        <v>27.042999999999999</v>
      </c>
      <c r="E121" s="57"/>
      <c r="F121" s="59"/>
      <c r="G121" s="60"/>
    </row>
    <row r="122" spans="1:10" x14ac:dyDescent="0.2">
      <c r="A122" s="57"/>
      <c r="B122" s="57"/>
      <c r="C122" s="57"/>
      <c r="D122" s="57"/>
      <c r="E122" s="57"/>
      <c r="F122" s="57"/>
      <c r="G122" s="57"/>
    </row>
    <row r="123" spans="1:10" x14ac:dyDescent="0.2">
      <c r="A123" s="53"/>
      <c r="B123" s="227" t="s">
        <v>865</v>
      </c>
      <c r="C123" s="228"/>
      <c r="D123" s="50" t="s">
        <v>175</v>
      </c>
      <c r="E123" s="53"/>
      <c r="F123" s="53"/>
      <c r="G123" s="53"/>
    </row>
    <row r="124" spans="1:10" x14ac:dyDescent="0.2">
      <c r="A124" s="53"/>
      <c r="B124" s="74"/>
      <c r="C124" s="74"/>
      <c r="D124" s="74"/>
      <c r="E124" s="53"/>
      <c r="F124" s="53"/>
      <c r="G124" s="53"/>
    </row>
    <row r="125" spans="1:10" x14ac:dyDescent="0.2">
      <c r="A125" s="53"/>
      <c r="B125" s="227" t="s">
        <v>181</v>
      </c>
      <c r="C125" s="228"/>
      <c r="D125" s="50" t="s">
        <v>175</v>
      </c>
      <c r="E125" s="64"/>
      <c r="F125" s="53"/>
      <c r="G125" s="53"/>
    </row>
    <row r="126" spans="1:10" x14ac:dyDescent="0.2">
      <c r="A126" s="53"/>
      <c r="B126" s="227" t="s">
        <v>182</v>
      </c>
      <c r="C126" s="228"/>
      <c r="D126" s="50" t="s">
        <v>175</v>
      </c>
      <c r="E126" s="64"/>
      <c r="F126" s="53"/>
      <c r="G126" s="53"/>
    </row>
    <row r="127" spans="1:10" x14ac:dyDescent="0.2">
      <c r="A127" s="53"/>
      <c r="B127" s="227" t="s">
        <v>183</v>
      </c>
      <c r="C127" s="228"/>
      <c r="D127" s="50" t="s">
        <v>175</v>
      </c>
      <c r="E127" s="64"/>
      <c r="F127" s="53"/>
      <c r="G127" s="53"/>
    </row>
    <row r="128" spans="1:10" x14ac:dyDescent="0.2">
      <c r="A128" s="53"/>
      <c r="B128" s="227" t="s">
        <v>184</v>
      </c>
      <c r="C128" s="228"/>
      <c r="D128" s="65">
        <v>0.31764497335387881</v>
      </c>
      <c r="E128" s="53"/>
      <c r="F128" s="43"/>
      <c r="G128" s="63"/>
    </row>
    <row r="130" spans="2:10" x14ac:dyDescent="0.2">
      <c r="B130" s="229" t="s">
        <v>866</v>
      </c>
      <c r="C130" s="229"/>
    </row>
    <row r="132" spans="2:10" ht="153.75" customHeight="1" x14ac:dyDescent="0.2"/>
    <row r="135" spans="2:10" x14ac:dyDescent="0.2">
      <c r="B135" s="66" t="s">
        <v>867</v>
      </c>
      <c r="C135" s="67"/>
      <c r="D135" s="66"/>
    </row>
    <row r="136" spans="2:10" x14ac:dyDescent="0.2">
      <c r="B136" s="66" t="s">
        <v>878</v>
      </c>
      <c r="D136" s="66"/>
    </row>
    <row r="137" spans="2:10" ht="165" customHeight="1" x14ac:dyDescent="0.2"/>
    <row r="138" spans="2:10" x14ac:dyDescent="0.2">
      <c r="B138" s="66"/>
      <c r="D138" s="66"/>
    </row>
    <row r="139" spans="2:10" x14ac:dyDescent="0.2">
      <c r="J139" s="21"/>
    </row>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sheetData>
  <mergeCells count="18">
    <mergeCell ref="A1:H1"/>
    <mergeCell ref="A2:H2"/>
    <mergeCell ref="A3:H3"/>
    <mergeCell ref="B114:C114"/>
    <mergeCell ref="B115:C115"/>
    <mergeCell ref="B112:D112"/>
    <mergeCell ref="B113:C113"/>
    <mergeCell ref="B106:H106"/>
    <mergeCell ref="B107:H107"/>
    <mergeCell ref="B108:H108"/>
    <mergeCell ref="B109:H109"/>
    <mergeCell ref="B110:H110"/>
    <mergeCell ref="B125:C125"/>
    <mergeCell ref="B126:C126"/>
    <mergeCell ref="B130:C130"/>
    <mergeCell ref="B123:C123"/>
    <mergeCell ref="B127:C127"/>
    <mergeCell ref="B128:C128"/>
  </mergeCells>
  <hyperlinks>
    <hyperlink ref="I1" location="Index!B2" display="Index" xr:uid="{89DF6204-372C-4ABF-950C-205394BF402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316BC-83B7-4B87-A772-938134F2BA43}">
  <sheetPr>
    <outlinePr summaryBelow="0" summaryRight="0"/>
  </sheetPr>
  <dimension ref="A1:Q158"/>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459</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tr">
        <f>IFERROR(VLOOKUP(B5,#REF!,12,FALSE),"")</f>
        <v/>
      </c>
    </row>
    <row r="6" spans="1:9" x14ac:dyDescent="0.2">
      <c r="A6" s="25"/>
      <c r="B6" s="25"/>
      <c r="C6" s="26" t="s">
        <v>10</v>
      </c>
      <c r="D6" s="25"/>
      <c r="E6" s="25"/>
      <c r="F6" s="25"/>
      <c r="G6" s="25"/>
      <c r="H6" s="24" t="str">
        <f>IFERROR(VLOOKUP(B6,#REF!,12,FALSE),"")</f>
        <v/>
      </c>
    </row>
    <row r="7" spans="1:9" x14ac:dyDescent="0.2">
      <c r="A7" s="27">
        <v>1</v>
      </c>
      <c r="B7" s="28" t="s">
        <v>379</v>
      </c>
      <c r="C7" s="28" t="s">
        <v>380</v>
      </c>
      <c r="D7" s="28" t="s">
        <v>39</v>
      </c>
      <c r="E7" s="29">
        <v>9824</v>
      </c>
      <c r="F7" s="30">
        <v>236.75839999999999</v>
      </c>
      <c r="G7" s="31">
        <v>6.7042089999999999E-2</v>
      </c>
      <c r="H7" s="24" t="str">
        <f>IFERROR(VLOOKUP(B7,#REF!,12,FALSE),"")</f>
        <v/>
      </c>
    </row>
    <row r="8" spans="1:9" x14ac:dyDescent="0.2">
      <c r="A8" s="27">
        <v>2</v>
      </c>
      <c r="B8" s="28" t="s">
        <v>350</v>
      </c>
      <c r="C8" s="28" t="s">
        <v>351</v>
      </c>
      <c r="D8" s="28" t="s">
        <v>233</v>
      </c>
      <c r="E8" s="29">
        <v>3746</v>
      </c>
      <c r="F8" s="30">
        <v>214.75630699999999</v>
      </c>
      <c r="G8" s="31">
        <v>6.0811829999999997E-2</v>
      </c>
      <c r="H8" s="24" t="str">
        <f>IFERROR(VLOOKUP(B8,#REF!,12,FALSE),"")</f>
        <v/>
      </c>
    </row>
    <row r="9" spans="1:9" x14ac:dyDescent="0.2">
      <c r="A9" s="27">
        <v>3</v>
      </c>
      <c r="B9" s="28" t="s">
        <v>377</v>
      </c>
      <c r="C9" s="28" t="s">
        <v>378</v>
      </c>
      <c r="D9" s="28" t="s">
        <v>208</v>
      </c>
      <c r="E9" s="29">
        <v>33900</v>
      </c>
      <c r="F9" s="30">
        <v>166.63544999999999</v>
      </c>
      <c r="G9" s="31">
        <v>4.7185610000000003E-2</v>
      </c>
      <c r="H9" s="24" t="str">
        <f>IFERROR(VLOOKUP(B9,#REF!,12,FALSE),"")</f>
        <v/>
      </c>
    </row>
    <row r="10" spans="1:9" x14ac:dyDescent="0.2">
      <c r="A10" s="27">
        <v>4</v>
      </c>
      <c r="B10" s="28" t="s">
        <v>133</v>
      </c>
      <c r="C10" s="28" t="s">
        <v>134</v>
      </c>
      <c r="D10" s="28" t="s">
        <v>39</v>
      </c>
      <c r="E10" s="29">
        <v>47004</v>
      </c>
      <c r="F10" s="30">
        <v>163.80894000000001</v>
      </c>
      <c r="G10" s="31">
        <v>4.6385240000000001E-2</v>
      </c>
      <c r="H10" s="24" t="str">
        <f>IFERROR(VLOOKUP(B10,#REF!,12,FALSE),"")</f>
        <v/>
      </c>
    </row>
    <row r="11" spans="1:9" x14ac:dyDescent="0.2">
      <c r="A11" s="27">
        <v>5</v>
      </c>
      <c r="B11" s="28" t="s">
        <v>395</v>
      </c>
      <c r="C11" s="28" t="s">
        <v>396</v>
      </c>
      <c r="D11" s="28" t="s">
        <v>233</v>
      </c>
      <c r="E11" s="29">
        <v>6306</v>
      </c>
      <c r="F11" s="30">
        <v>147.945066</v>
      </c>
      <c r="G11" s="31">
        <v>4.1893109999999997E-2</v>
      </c>
      <c r="H11" s="24" t="str">
        <f>IFERROR(VLOOKUP(B11,#REF!,12,FALSE),"")</f>
        <v/>
      </c>
    </row>
    <row r="12" spans="1:9" ht="25.5" x14ac:dyDescent="0.2">
      <c r="A12" s="27">
        <v>6</v>
      </c>
      <c r="B12" s="28" t="s">
        <v>301</v>
      </c>
      <c r="C12" s="28" t="s">
        <v>302</v>
      </c>
      <c r="D12" s="28" t="s">
        <v>258</v>
      </c>
      <c r="E12" s="29">
        <v>3525</v>
      </c>
      <c r="F12" s="30">
        <v>146.24167499999999</v>
      </c>
      <c r="G12" s="31">
        <v>4.141077E-2</v>
      </c>
      <c r="H12" s="24" t="str">
        <f>IFERROR(VLOOKUP(B12,#REF!,12,FALSE),"")</f>
        <v/>
      </c>
    </row>
    <row r="13" spans="1:9" x14ac:dyDescent="0.2">
      <c r="A13" s="27">
        <v>7</v>
      </c>
      <c r="B13" s="28" t="s">
        <v>381</v>
      </c>
      <c r="C13" s="28" t="s">
        <v>382</v>
      </c>
      <c r="D13" s="28" t="s">
        <v>223</v>
      </c>
      <c r="E13" s="29">
        <v>48585</v>
      </c>
      <c r="F13" s="30">
        <v>140.70215999999999</v>
      </c>
      <c r="G13" s="31">
        <v>3.9842170000000003E-2</v>
      </c>
      <c r="H13" s="24" t="str">
        <f>IFERROR(VLOOKUP(B13,#REF!,12,FALSE),"")</f>
        <v/>
      </c>
    </row>
    <row r="14" spans="1:9" x14ac:dyDescent="0.2">
      <c r="A14" s="27">
        <v>8</v>
      </c>
      <c r="B14" s="28" t="s">
        <v>352</v>
      </c>
      <c r="C14" s="28" t="s">
        <v>353</v>
      </c>
      <c r="D14" s="28" t="s">
        <v>354</v>
      </c>
      <c r="E14" s="29">
        <v>9043</v>
      </c>
      <c r="F14" s="30">
        <v>136.36391850000001</v>
      </c>
      <c r="G14" s="31">
        <v>3.8613719999999997E-2</v>
      </c>
      <c r="H14" s="24" t="str">
        <f>IFERROR(VLOOKUP(B14,#REF!,12,FALSE),"")</f>
        <v/>
      </c>
    </row>
    <row r="15" spans="1:9" x14ac:dyDescent="0.2">
      <c r="A15" s="27">
        <v>9</v>
      </c>
      <c r="B15" s="28" t="s">
        <v>387</v>
      </c>
      <c r="C15" s="28" t="s">
        <v>388</v>
      </c>
      <c r="D15" s="28" t="s">
        <v>33</v>
      </c>
      <c r="E15" s="29">
        <v>187038</v>
      </c>
      <c r="F15" s="30">
        <v>124.38027</v>
      </c>
      <c r="G15" s="31">
        <v>3.5220349999999997E-2</v>
      </c>
      <c r="H15" s="24" t="str">
        <f>IFERROR(VLOOKUP(B15,#REF!,12,FALSE),"")</f>
        <v/>
      </c>
    </row>
    <row r="16" spans="1:9" ht="25.5" x14ac:dyDescent="0.2">
      <c r="A16" s="27">
        <v>10</v>
      </c>
      <c r="B16" s="28" t="s">
        <v>50</v>
      </c>
      <c r="C16" s="28" t="s">
        <v>51</v>
      </c>
      <c r="D16" s="28" t="s">
        <v>25</v>
      </c>
      <c r="E16" s="29">
        <v>2480</v>
      </c>
      <c r="F16" s="30">
        <v>119.90428</v>
      </c>
      <c r="G16" s="31">
        <v>3.3952900000000001E-2</v>
      </c>
      <c r="H16" s="24" t="str">
        <f>IFERROR(VLOOKUP(B16,#REF!,12,FALSE),"")</f>
        <v/>
      </c>
    </row>
    <row r="17" spans="1:8" x14ac:dyDescent="0.2">
      <c r="A17" s="27">
        <v>11</v>
      </c>
      <c r="B17" s="28" t="s">
        <v>52</v>
      </c>
      <c r="C17" s="28" t="s">
        <v>53</v>
      </c>
      <c r="D17" s="28" t="s">
        <v>42</v>
      </c>
      <c r="E17" s="29">
        <v>2964</v>
      </c>
      <c r="F17" s="30">
        <v>119.25950400000001</v>
      </c>
      <c r="G17" s="31">
        <v>3.377032E-2</v>
      </c>
      <c r="H17" s="24" t="str">
        <f>IFERROR(VLOOKUP(B17,#REF!,12,FALSE),"")</f>
        <v/>
      </c>
    </row>
    <row r="18" spans="1:8" x14ac:dyDescent="0.2">
      <c r="A18" s="27">
        <v>12</v>
      </c>
      <c r="B18" s="28" t="s">
        <v>67</v>
      </c>
      <c r="C18" s="28" t="s">
        <v>68</v>
      </c>
      <c r="D18" s="28" t="s">
        <v>42</v>
      </c>
      <c r="E18" s="29">
        <v>16174</v>
      </c>
      <c r="F18" s="30">
        <v>113.630437</v>
      </c>
      <c r="G18" s="31">
        <v>3.2176360000000001E-2</v>
      </c>
      <c r="H18" s="24" t="str">
        <f>IFERROR(VLOOKUP(B18,#REF!,12,FALSE),"")</f>
        <v/>
      </c>
    </row>
    <row r="19" spans="1:8" x14ac:dyDescent="0.2">
      <c r="A19" s="27">
        <v>13</v>
      </c>
      <c r="B19" s="28" t="s">
        <v>385</v>
      </c>
      <c r="C19" s="28" t="s">
        <v>386</v>
      </c>
      <c r="D19" s="28" t="s">
        <v>33</v>
      </c>
      <c r="E19" s="29">
        <v>36437</v>
      </c>
      <c r="F19" s="30">
        <v>111.53365700000001</v>
      </c>
      <c r="G19" s="31">
        <v>3.1582619999999999E-2</v>
      </c>
      <c r="H19" s="24" t="str">
        <f>IFERROR(VLOOKUP(B19,#REF!,12,FALSE),"")</f>
        <v/>
      </c>
    </row>
    <row r="20" spans="1:8" x14ac:dyDescent="0.2">
      <c r="A20" s="27">
        <v>14</v>
      </c>
      <c r="B20" s="28" t="s">
        <v>383</v>
      </c>
      <c r="C20" s="28" t="s">
        <v>384</v>
      </c>
      <c r="D20" s="28" t="s">
        <v>195</v>
      </c>
      <c r="E20" s="29">
        <v>15581</v>
      </c>
      <c r="F20" s="30">
        <v>108.9345615</v>
      </c>
      <c r="G20" s="31">
        <v>3.0846640000000002E-2</v>
      </c>
      <c r="H20" s="24" t="str">
        <f>IFERROR(VLOOKUP(B20,#REF!,12,FALSE),"")</f>
        <v/>
      </c>
    </row>
    <row r="21" spans="1:8" x14ac:dyDescent="0.2">
      <c r="A21" s="27">
        <v>15</v>
      </c>
      <c r="B21" s="28" t="s">
        <v>389</v>
      </c>
      <c r="C21" s="28" t="s">
        <v>390</v>
      </c>
      <c r="D21" s="28" t="s">
        <v>33</v>
      </c>
      <c r="E21" s="29">
        <v>290098</v>
      </c>
      <c r="F21" s="30">
        <v>104.2032016</v>
      </c>
      <c r="G21" s="31">
        <v>2.9506879999999999E-2</v>
      </c>
      <c r="H21" s="24" t="str">
        <f>IFERROR(VLOOKUP(B21,#REF!,12,FALSE),"")</f>
        <v/>
      </c>
    </row>
    <row r="22" spans="1:8" x14ac:dyDescent="0.2">
      <c r="A22" s="27">
        <v>16</v>
      </c>
      <c r="B22" s="28" t="s">
        <v>409</v>
      </c>
      <c r="C22" s="28" t="s">
        <v>410</v>
      </c>
      <c r="D22" s="28" t="s">
        <v>195</v>
      </c>
      <c r="E22" s="29">
        <v>18242</v>
      </c>
      <c r="F22" s="30">
        <v>97.521732</v>
      </c>
      <c r="G22" s="31">
        <v>2.7614909999999999E-2</v>
      </c>
      <c r="H22" s="24" t="str">
        <f>IFERROR(VLOOKUP(B22,#REF!,12,FALSE),"")</f>
        <v/>
      </c>
    </row>
    <row r="23" spans="1:8" ht="25.5" x14ac:dyDescent="0.2">
      <c r="A23" s="27">
        <v>17</v>
      </c>
      <c r="B23" s="28" t="s">
        <v>393</v>
      </c>
      <c r="C23" s="28" t="s">
        <v>394</v>
      </c>
      <c r="D23" s="28" t="s">
        <v>198</v>
      </c>
      <c r="E23" s="29">
        <v>1708</v>
      </c>
      <c r="F23" s="30">
        <v>91.934808000000004</v>
      </c>
      <c r="G23" s="31">
        <v>2.6032880000000001E-2</v>
      </c>
      <c r="H23" s="24" t="str">
        <f>IFERROR(VLOOKUP(B23,#REF!,12,FALSE),"")</f>
        <v/>
      </c>
    </row>
    <row r="24" spans="1:8" x14ac:dyDescent="0.2">
      <c r="A24" s="27">
        <v>18</v>
      </c>
      <c r="B24" s="28" t="s">
        <v>102</v>
      </c>
      <c r="C24" s="28" t="s">
        <v>103</v>
      </c>
      <c r="D24" s="28" t="s">
        <v>42</v>
      </c>
      <c r="E24" s="29">
        <v>4465</v>
      </c>
      <c r="F24" s="30">
        <v>86.0606425</v>
      </c>
      <c r="G24" s="31">
        <v>2.436951E-2</v>
      </c>
      <c r="H24" s="24" t="str">
        <f>IFERROR(VLOOKUP(B24,#REF!,12,FALSE),"")</f>
        <v/>
      </c>
    </row>
    <row r="25" spans="1:8" ht="25.5" x14ac:dyDescent="0.2">
      <c r="A25" s="27">
        <v>19</v>
      </c>
      <c r="B25" s="28" t="s">
        <v>402</v>
      </c>
      <c r="C25" s="28" t="s">
        <v>403</v>
      </c>
      <c r="D25" s="28" t="s">
        <v>404</v>
      </c>
      <c r="E25" s="29">
        <v>25470</v>
      </c>
      <c r="F25" s="30">
        <v>85.362705000000005</v>
      </c>
      <c r="G25" s="31">
        <v>2.4171870000000002E-2</v>
      </c>
      <c r="H25" s="24" t="str">
        <f>IFERROR(VLOOKUP(B25,#REF!,12,FALSE),"")</f>
        <v/>
      </c>
    </row>
    <row r="26" spans="1:8" x14ac:dyDescent="0.2">
      <c r="A26" s="27">
        <v>20</v>
      </c>
      <c r="B26" s="28" t="s">
        <v>45</v>
      </c>
      <c r="C26" s="28" t="s">
        <v>46</v>
      </c>
      <c r="D26" s="28" t="s">
        <v>47</v>
      </c>
      <c r="E26" s="29">
        <v>6875</v>
      </c>
      <c r="F26" s="30">
        <v>80.509687499999998</v>
      </c>
      <c r="G26" s="31">
        <v>2.2797660000000001E-2</v>
      </c>
      <c r="H26" s="24" t="str">
        <f>IFERROR(VLOOKUP(B26,#REF!,12,FALSE),"")</f>
        <v/>
      </c>
    </row>
    <row r="27" spans="1:8" x14ac:dyDescent="0.2">
      <c r="A27" s="27">
        <v>21</v>
      </c>
      <c r="B27" s="28" t="s">
        <v>59</v>
      </c>
      <c r="C27" s="28" t="s">
        <v>60</v>
      </c>
      <c r="D27" s="28" t="s">
        <v>13</v>
      </c>
      <c r="E27" s="29">
        <v>7151</v>
      </c>
      <c r="F27" s="30">
        <v>75.704061499999995</v>
      </c>
      <c r="G27" s="31">
        <v>2.143687E-2</v>
      </c>
      <c r="H27" s="24" t="str">
        <f>IFERROR(VLOOKUP(B27,#REF!,12,FALSE),"")</f>
        <v/>
      </c>
    </row>
    <row r="28" spans="1:8" x14ac:dyDescent="0.2">
      <c r="A28" s="27">
        <v>22</v>
      </c>
      <c r="B28" s="28" t="s">
        <v>40</v>
      </c>
      <c r="C28" s="28" t="s">
        <v>41</v>
      </c>
      <c r="D28" s="28" t="s">
        <v>42</v>
      </c>
      <c r="E28" s="29">
        <v>1446</v>
      </c>
      <c r="F28" s="30">
        <v>72.466290000000001</v>
      </c>
      <c r="G28" s="31">
        <v>2.052004E-2</v>
      </c>
      <c r="H28" s="24" t="str">
        <f>IFERROR(VLOOKUP(B28,#REF!,12,FALSE),"")</f>
        <v/>
      </c>
    </row>
    <row r="29" spans="1:8" x14ac:dyDescent="0.2">
      <c r="A29" s="27">
        <v>23</v>
      </c>
      <c r="B29" s="28" t="s">
        <v>407</v>
      </c>
      <c r="C29" s="28" t="s">
        <v>408</v>
      </c>
      <c r="D29" s="28" t="s">
        <v>120</v>
      </c>
      <c r="E29" s="29">
        <v>10638</v>
      </c>
      <c r="F29" s="30">
        <v>71.029926000000003</v>
      </c>
      <c r="G29" s="31">
        <v>2.0113309999999999E-2</v>
      </c>
      <c r="H29" s="24" t="str">
        <f>IFERROR(VLOOKUP(B29,#REF!,12,FALSE),"")</f>
        <v/>
      </c>
    </row>
    <row r="30" spans="1:8" x14ac:dyDescent="0.2">
      <c r="A30" s="27">
        <v>24</v>
      </c>
      <c r="B30" s="28" t="s">
        <v>413</v>
      </c>
      <c r="C30" s="28" t="s">
        <v>414</v>
      </c>
      <c r="D30" s="28" t="s">
        <v>223</v>
      </c>
      <c r="E30" s="29">
        <v>9165</v>
      </c>
      <c r="F30" s="30">
        <v>66.5241525</v>
      </c>
      <c r="G30" s="31">
        <v>1.8837420000000001E-2</v>
      </c>
      <c r="H30" s="24" t="str">
        <f>IFERROR(VLOOKUP(B30,#REF!,12,FALSE),"")</f>
        <v/>
      </c>
    </row>
    <row r="31" spans="1:8" x14ac:dyDescent="0.2">
      <c r="A31" s="27">
        <v>25</v>
      </c>
      <c r="B31" s="28" t="s">
        <v>399</v>
      </c>
      <c r="C31" s="28" t="s">
        <v>400</v>
      </c>
      <c r="D31" s="28" t="s">
        <v>401</v>
      </c>
      <c r="E31" s="29">
        <v>6011</v>
      </c>
      <c r="F31" s="30">
        <v>65.549954999999997</v>
      </c>
      <c r="G31" s="31">
        <v>1.8561560000000001E-2</v>
      </c>
      <c r="H31" s="24" t="str">
        <f>IFERROR(VLOOKUP(B31,#REF!,12,FALSE),"")</f>
        <v/>
      </c>
    </row>
    <row r="32" spans="1:8" x14ac:dyDescent="0.2">
      <c r="A32" s="27">
        <v>26</v>
      </c>
      <c r="B32" s="28" t="s">
        <v>244</v>
      </c>
      <c r="C32" s="28" t="s">
        <v>245</v>
      </c>
      <c r="D32" s="28" t="s">
        <v>120</v>
      </c>
      <c r="E32" s="29">
        <v>692</v>
      </c>
      <c r="F32" s="30">
        <v>64.789537999999993</v>
      </c>
      <c r="G32" s="31">
        <v>1.834624E-2</v>
      </c>
      <c r="H32" s="24" t="str">
        <f>IFERROR(VLOOKUP(B32,#REF!,12,FALSE),"")</f>
        <v/>
      </c>
    </row>
    <row r="33" spans="1:8" x14ac:dyDescent="0.2">
      <c r="A33" s="27">
        <v>27</v>
      </c>
      <c r="B33" s="28" t="s">
        <v>411</v>
      </c>
      <c r="C33" s="28" t="s">
        <v>412</v>
      </c>
      <c r="D33" s="28" t="s">
        <v>42</v>
      </c>
      <c r="E33" s="29">
        <v>13623</v>
      </c>
      <c r="F33" s="30">
        <v>64.368674999999996</v>
      </c>
      <c r="G33" s="31">
        <v>1.8227070000000001E-2</v>
      </c>
      <c r="H33" s="24" t="str">
        <f>IFERROR(VLOOKUP(B33,#REF!,12,FALSE),"")</f>
        <v/>
      </c>
    </row>
    <row r="34" spans="1:8" x14ac:dyDescent="0.2">
      <c r="A34" s="27">
        <v>28</v>
      </c>
      <c r="B34" s="28" t="s">
        <v>317</v>
      </c>
      <c r="C34" s="28" t="s">
        <v>318</v>
      </c>
      <c r="D34" s="28" t="s">
        <v>120</v>
      </c>
      <c r="E34" s="29">
        <v>4021</v>
      </c>
      <c r="F34" s="30">
        <v>61.070948000000001</v>
      </c>
      <c r="G34" s="31">
        <v>1.7293260000000001E-2</v>
      </c>
      <c r="H34" s="24" t="str">
        <f>IFERROR(VLOOKUP(B34,#REF!,12,FALSE),"")</f>
        <v/>
      </c>
    </row>
    <row r="35" spans="1:8" x14ac:dyDescent="0.2">
      <c r="A35" s="27">
        <v>29</v>
      </c>
      <c r="B35" s="28" t="s">
        <v>417</v>
      </c>
      <c r="C35" s="28" t="s">
        <v>418</v>
      </c>
      <c r="D35" s="28" t="s">
        <v>354</v>
      </c>
      <c r="E35" s="29">
        <v>12245</v>
      </c>
      <c r="F35" s="30">
        <v>51.986147500000001</v>
      </c>
      <c r="G35" s="31">
        <v>1.4720749999999999E-2</v>
      </c>
      <c r="H35" s="24" t="str">
        <f>IFERROR(VLOOKUP(B35,#REF!,12,FALSE),"")</f>
        <v/>
      </c>
    </row>
    <row r="36" spans="1:8" x14ac:dyDescent="0.2">
      <c r="A36" s="27">
        <v>30</v>
      </c>
      <c r="B36" s="28" t="s">
        <v>457</v>
      </c>
      <c r="C36" s="28" t="s">
        <v>458</v>
      </c>
      <c r="D36" s="28" t="s">
        <v>42</v>
      </c>
      <c r="E36" s="29">
        <v>9769</v>
      </c>
      <c r="F36" s="30">
        <v>50.598535499999997</v>
      </c>
      <c r="G36" s="31">
        <v>1.432782E-2</v>
      </c>
      <c r="H36" s="24" t="str">
        <f>IFERROR(VLOOKUP(B36,#REF!,12,FALSE),"")</f>
        <v/>
      </c>
    </row>
    <row r="37" spans="1:8" x14ac:dyDescent="0.2">
      <c r="A37" s="27">
        <v>31</v>
      </c>
      <c r="B37" s="28" t="s">
        <v>405</v>
      </c>
      <c r="C37" s="28" t="s">
        <v>406</v>
      </c>
      <c r="D37" s="28" t="s">
        <v>39</v>
      </c>
      <c r="E37" s="29">
        <v>5529</v>
      </c>
      <c r="F37" s="30">
        <v>44.489098499999997</v>
      </c>
      <c r="G37" s="31">
        <v>1.2597830000000001E-2</v>
      </c>
      <c r="H37" s="24" t="str">
        <f>IFERROR(VLOOKUP(B37,#REF!,12,FALSE),"")</f>
        <v/>
      </c>
    </row>
    <row r="38" spans="1:8" x14ac:dyDescent="0.2">
      <c r="A38" s="27">
        <v>32</v>
      </c>
      <c r="B38" s="28" t="s">
        <v>425</v>
      </c>
      <c r="C38" s="28" t="s">
        <v>426</v>
      </c>
      <c r="D38" s="28" t="s">
        <v>139</v>
      </c>
      <c r="E38" s="29">
        <v>25659</v>
      </c>
      <c r="F38" s="30">
        <v>34.5421458</v>
      </c>
      <c r="G38" s="31">
        <v>9.7811900000000004E-3</v>
      </c>
      <c r="H38" s="24" t="str">
        <f>IFERROR(VLOOKUP(B38,#REF!,12,FALSE),"")</f>
        <v/>
      </c>
    </row>
    <row r="39" spans="1:8" x14ac:dyDescent="0.2">
      <c r="A39" s="27">
        <v>33</v>
      </c>
      <c r="B39" s="28" t="s">
        <v>423</v>
      </c>
      <c r="C39" s="28" t="s">
        <v>424</v>
      </c>
      <c r="D39" s="28" t="s">
        <v>39</v>
      </c>
      <c r="E39" s="29">
        <v>5528</v>
      </c>
      <c r="F39" s="30">
        <v>34.284655999999998</v>
      </c>
      <c r="G39" s="31">
        <v>9.7082699999999997E-3</v>
      </c>
      <c r="H39" s="24" t="str">
        <f>IFERROR(VLOOKUP(B39,#REF!,12,FALSE),"")</f>
        <v/>
      </c>
    </row>
    <row r="40" spans="1:8" x14ac:dyDescent="0.2">
      <c r="A40" s="27">
        <v>34</v>
      </c>
      <c r="B40" s="28" t="s">
        <v>397</v>
      </c>
      <c r="C40" s="28" t="s">
        <v>398</v>
      </c>
      <c r="D40" s="28" t="s">
        <v>42</v>
      </c>
      <c r="E40" s="29">
        <v>2772</v>
      </c>
      <c r="F40" s="30">
        <v>27.634067999999999</v>
      </c>
      <c r="G40" s="31">
        <v>7.8250500000000001E-3</v>
      </c>
      <c r="H40" s="24" t="str">
        <f>IFERROR(VLOOKUP(B40,#REF!,12,FALSE),"")</f>
        <v/>
      </c>
    </row>
    <row r="41" spans="1:8" x14ac:dyDescent="0.2">
      <c r="A41" s="27">
        <v>35</v>
      </c>
      <c r="B41" s="28" t="s">
        <v>429</v>
      </c>
      <c r="C41" s="28" t="s">
        <v>430</v>
      </c>
      <c r="D41" s="28" t="s">
        <v>83</v>
      </c>
      <c r="E41" s="29">
        <v>4314</v>
      </c>
      <c r="F41" s="30">
        <v>18.722760000000001</v>
      </c>
      <c r="G41" s="31">
        <v>5.3016599999999997E-3</v>
      </c>
      <c r="H41" s="24" t="str">
        <f>IFERROR(VLOOKUP(B41,#REF!,12,FALSE),"")</f>
        <v/>
      </c>
    </row>
    <row r="42" spans="1:8" x14ac:dyDescent="0.2">
      <c r="A42" s="25"/>
      <c r="B42" s="25"/>
      <c r="C42" s="26" t="s">
        <v>145</v>
      </c>
      <c r="D42" s="25"/>
      <c r="E42" s="25" t="s">
        <v>146</v>
      </c>
      <c r="F42" s="32">
        <v>3400.2083598999998</v>
      </c>
      <c r="G42" s="33">
        <v>0.96282577999999996</v>
      </c>
      <c r="H42" s="24" t="str">
        <f>IFERROR(VLOOKUP(B42,#REF!,12,FALSE),"")</f>
        <v/>
      </c>
    </row>
    <row r="43" spans="1:8" x14ac:dyDescent="0.2">
      <c r="A43" s="25"/>
      <c r="B43" s="25"/>
      <c r="C43" s="34"/>
      <c r="D43" s="25"/>
      <c r="E43" s="25"/>
      <c r="F43" s="35"/>
      <c r="G43" s="35"/>
      <c r="H43" s="24" t="str">
        <f>IFERROR(VLOOKUP(B43,#REF!,12,FALSE),"")</f>
        <v/>
      </c>
    </row>
    <row r="44" spans="1:8" x14ac:dyDescent="0.2">
      <c r="A44" s="25"/>
      <c r="B44" s="25"/>
      <c r="C44" s="26" t="s">
        <v>147</v>
      </c>
      <c r="D44" s="25"/>
      <c r="E44" s="25"/>
      <c r="F44" s="25"/>
      <c r="G44" s="25"/>
      <c r="H44" s="24" t="str">
        <f>IFERROR(VLOOKUP(B44,#REF!,12,FALSE),"")</f>
        <v/>
      </c>
    </row>
    <row r="45" spans="1:8" x14ac:dyDescent="0.2">
      <c r="A45" s="25"/>
      <c r="B45" s="25"/>
      <c r="C45" s="26" t="s">
        <v>145</v>
      </c>
      <c r="D45" s="25"/>
      <c r="E45" s="25" t="s">
        <v>146</v>
      </c>
      <c r="F45" s="36" t="s">
        <v>148</v>
      </c>
      <c r="G45" s="33">
        <v>0</v>
      </c>
      <c r="H45" s="24" t="str">
        <f>IFERROR(VLOOKUP(B45,#REF!,12,FALSE),"")</f>
        <v/>
      </c>
    </row>
    <row r="46" spans="1:8" x14ac:dyDescent="0.2">
      <c r="A46" s="25"/>
      <c r="B46" s="25"/>
      <c r="C46" s="34"/>
      <c r="D46" s="25"/>
      <c r="E46" s="25"/>
      <c r="F46" s="35"/>
      <c r="G46" s="35"/>
      <c r="H46" s="24" t="str">
        <f>IFERROR(VLOOKUP(B46,#REF!,12,FALSE),"")</f>
        <v/>
      </c>
    </row>
    <row r="47" spans="1:8" x14ac:dyDescent="0.2">
      <c r="A47" s="25"/>
      <c r="B47" s="25"/>
      <c r="C47" s="26" t="s">
        <v>149</v>
      </c>
      <c r="D47" s="25"/>
      <c r="E47" s="25"/>
      <c r="F47" s="25"/>
      <c r="G47" s="25"/>
      <c r="H47" s="24" t="str">
        <f>IFERROR(VLOOKUP(B47,#REF!,12,FALSE),"")</f>
        <v/>
      </c>
    </row>
    <row r="48" spans="1:8" x14ac:dyDescent="0.2">
      <c r="A48" s="25"/>
      <c r="B48" s="25"/>
      <c r="C48" s="26" t="s">
        <v>145</v>
      </c>
      <c r="D48" s="25"/>
      <c r="E48" s="25" t="s">
        <v>146</v>
      </c>
      <c r="F48" s="36" t="s">
        <v>148</v>
      </c>
      <c r="G48" s="33">
        <v>0</v>
      </c>
      <c r="H48" s="24" t="str">
        <f>IFERROR(VLOOKUP(B48,#REF!,12,FALSE),"")</f>
        <v/>
      </c>
    </row>
    <row r="49" spans="1:8" x14ac:dyDescent="0.2">
      <c r="A49" s="25"/>
      <c r="B49" s="25"/>
      <c r="C49" s="34"/>
      <c r="D49" s="25"/>
      <c r="E49" s="25"/>
      <c r="F49" s="35"/>
      <c r="G49" s="35"/>
      <c r="H49" s="24" t="str">
        <f>IFERROR(VLOOKUP(B49,#REF!,12,FALSE),"")</f>
        <v/>
      </c>
    </row>
    <row r="50" spans="1:8" x14ac:dyDescent="0.2">
      <c r="A50" s="25"/>
      <c r="B50" s="25"/>
      <c r="C50" s="26" t="s">
        <v>150</v>
      </c>
      <c r="D50" s="25"/>
      <c r="E50" s="25"/>
      <c r="F50" s="25"/>
      <c r="G50" s="25"/>
      <c r="H50" s="24" t="str">
        <f>IFERROR(VLOOKUP(B50,#REF!,12,FALSE),"")</f>
        <v/>
      </c>
    </row>
    <row r="51" spans="1:8" x14ac:dyDescent="0.2">
      <c r="A51" s="25"/>
      <c r="B51" s="25"/>
      <c r="C51" s="26" t="s">
        <v>145</v>
      </c>
      <c r="D51" s="25"/>
      <c r="E51" s="25" t="s">
        <v>146</v>
      </c>
      <c r="F51" s="36" t="s">
        <v>148</v>
      </c>
      <c r="G51" s="33">
        <v>0</v>
      </c>
      <c r="H51" s="24" t="str">
        <f>IFERROR(VLOOKUP(B51,#REF!,12,FALSE),"")</f>
        <v/>
      </c>
    </row>
    <row r="52" spans="1:8" x14ac:dyDescent="0.2">
      <c r="A52" s="25"/>
      <c r="B52" s="25"/>
      <c r="C52" s="34"/>
      <c r="D52" s="25"/>
      <c r="E52" s="25"/>
      <c r="F52" s="35"/>
      <c r="G52" s="35"/>
      <c r="H52" s="24" t="str">
        <f>IFERROR(VLOOKUP(B52,#REF!,12,FALSE),"")</f>
        <v/>
      </c>
    </row>
    <row r="53" spans="1:8" x14ac:dyDescent="0.2">
      <c r="A53" s="25"/>
      <c r="B53" s="25"/>
      <c r="C53" s="26" t="s">
        <v>151</v>
      </c>
      <c r="D53" s="25"/>
      <c r="E53" s="25"/>
      <c r="F53" s="35"/>
      <c r="G53" s="35"/>
      <c r="H53" s="24" t="str">
        <f>IFERROR(VLOOKUP(B53,#REF!,12,FALSE),"")</f>
        <v/>
      </c>
    </row>
    <row r="54" spans="1:8" x14ac:dyDescent="0.2">
      <c r="A54" s="25"/>
      <c r="B54" s="25"/>
      <c r="C54" s="26" t="s">
        <v>145</v>
      </c>
      <c r="D54" s="25"/>
      <c r="E54" s="25" t="s">
        <v>146</v>
      </c>
      <c r="F54" s="36" t="s">
        <v>148</v>
      </c>
      <c r="G54" s="33">
        <v>0</v>
      </c>
      <c r="H54" s="24" t="str">
        <f>IFERROR(VLOOKUP(B54,#REF!,12,FALSE),"")</f>
        <v/>
      </c>
    </row>
    <row r="55" spans="1:8" x14ac:dyDescent="0.2">
      <c r="A55" s="25"/>
      <c r="B55" s="25"/>
      <c r="C55" s="34"/>
      <c r="D55" s="25"/>
      <c r="E55" s="25"/>
      <c r="F55" s="35"/>
      <c r="G55" s="35"/>
      <c r="H55" s="24" t="str">
        <f>IFERROR(VLOOKUP(B55,#REF!,12,FALSE),"")</f>
        <v/>
      </c>
    </row>
    <row r="56" spans="1:8" x14ac:dyDescent="0.2">
      <c r="A56" s="25"/>
      <c r="B56" s="25"/>
      <c r="C56" s="26" t="s">
        <v>152</v>
      </c>
      <c r="D56" s="25"/>
      <c r="E56" s="25"/>
      <c r="F56" s="35"/>
      <c r="G56" s="35"/>
      <c r="H56" s="24" t="str">
        <f>IFERROR(VLOOKUP(B56,#REF!,12,FALSE),"")</f>
        <v/>
      </c>
    </row>
    <row r="57" spans="1:8" x14ac:dyDescent="0.2">
      <c r="A57" s="25"/>
      <c r="B57" s="25"/>
      <c r="C57" s="26" t="s">
        <v>145</v>
      </c>
      <c r="D57" s="25"/>
      <c r="E57" s="25" t="s">
        <v>146</v>
      </c>
      <c r="F57" s="36" t="s">
        <v>148</v>
      </c>
      <c r="G57" s="33">
        <v>0</v>
      </c>
      <c r="H57" s="24" t="str">
        <f>IFERROR(VLOOKUP(B57,#REF!,12,FALSE),"")</f>
        <v/>
      </c>
    </row>
    <row r="58" spans="1:8" x14ac:dyDescent="0.2">
      <c r="A58" s="25"/>
      <c r="B58" s="25"/>
      <c r="C58" s="34"/>
      <c r="D58" s="25"/>
      <c r="E58" s="25"/>
      <c r="F58" s="35"/>
      <c r="G58" s="35"/>
      <c r="H58" s="24" t="str">
        <f>IFERROR(VLOOKUP(B58,#REF!,12,FALSE),"")</f>
        <v/>
      </c>
    </row>
    <row r="59" spans="1:8" x14ac:dyDescent="0.2">
      <c r="A59" s="25"/>
      <c r="B59" s="25"/>
      <c r="C59" s="26" t="s">
        <v>153</v>
      </c>
      <c r="D59" s="25"/>
      <c r="E59" s="25"/>
      <c r="F59" s="32">
        <v>3400.2083598999998</v>
      </c>
      <c r="G59" s="33">
        <v>0.96282577999999996</v>
      </c>
      <c r="H59" s="24" t="str">
        <f>IFERROR(VLOOKUP(B59,#REF!,12,FALSE),"")</f>
        <v/>
      </c>
    </row>
    <row r="60" spans="1:8" x14ac:dyDescent="0.2">
      <c r="A60" s="25"/>
      <c r="B60" s="25"/>
      <c r="C60" s="34"/>
      <c r="D60" s="25"/>
      <c r="E60" s="25"/>
      <c r="F60" s="35"/>
      <c r="G60" s="35"/>
      <c r="H60" s="24" t="str">
        <f>IFERROR(VLOOKUP(B60,#REF!,12,FALSE),"")</f>
        <v/>
      </c>
    </row>
    <row r="61" spans="1:8" x14ac:dyDescent="0.2">
      <c r="A61" s="25"/>
      <c r="B61" s="25"/>
      <c r="C61" s="26" t="s">
        <v>154</v>
      </c>
      <c r="D61" s="25"/>
      <c r="E61" s="25"/>
      <c r="F61" s="35"/>
      <c r="G61" s="35"/>
      <c r="H61" s="24" t="str">
        <f>IFERROR(VLOOKUP(B61,#REF!,12,FALSE),"")</f>
        <v/>
      </c>
    </row>
    <row r="62" spans="1:8" x14ac:dyDescent="0.2">
      <c r="A62" s="25"/>
      <c r="B62" s="25"/>
      <c r="C62" s="26" t="s">
        <v>10</v>
      </c>
      <c r="D62" s="25"/>
      <c r="E62" s="25"/>
      <c r="F62" s="35"/>
      <c r="G62" s="35"/>
      <c r="H62" s="24" t="str">
        <f>IFERROR(VLOOKUP(B62,#REF!,12,FALSE),"")</f>
        <v/>
      </c>
    </row>
    <row r="63" spans="1:8" x14ac:dyDescent="0.2">
      <c r="A63" s="25"/>
      <c r="B63" s="25"/>
      <c r="C63" s="26" t="s">
        <v>145</v>
      </c>
      <c r="D63" s="25"/>
      <c r="E63" s="25" t="s">
        <v>146</v>
      </c>
      <c r="F63" s="36" t="s">
        <v>148</v>
      </c>
      <c r="G63" s="33">
        <v>0</v>
      </c>
      <c r="H63" s="24" t="str">
        <f>IFERROR(VLOOKUP(B63,#REF!,12,FALSE),"")</f>
        <v/>
      </c>
    </row>
    <row r="64" spans="1:8" x14ac:dyDescent="0.2">
      <c r="A64" s="25"/>
      <c r="B64" s="25"/>
      <c r="C64" s="34"/>
      <c r="D64" s="25"/>
      <c r="E64" s="25"/>
      <c r="F64" s="35"/>
      <c r="G64" s="35"/>
      <c r="H64" s="24" t="str">
        <f>IFERROR(VLOOKUP(B64,#REF!,12,FALSE),"")</f>
        <v/>
      </c>
    </row>
    <row r="65" spans="1:8" x14ac:dyDescent="0.2">
      <c r="A65" s="25"/>
      <c r="B65" s="25"/>
      <c r="C65" s="26" t="s">
        <v>155</v>
      </c>
      <c r="D65" s="25"/>
      <c r="E65" s="25"/>
      <c r="F65" s="25"/>
      <c r="G65" s="25"/>
      <c r="H65" s="24" t="str">
        <f>IFERROR(VLOOKUP(B65,#REF!,12,FALSE),"")</f>
        <v/>
      </c>
    </row>
    <row r="66" spans="1:8" x14ac:dyDescent="0.2">
      <c r="A66" s="25"/>
      <c r="B66" s="25"/>
      <c r="C66" s="26" t="s">
        <v>145</v>
      </c>
      <c r="D66" s="25"/>
      <c r="E66" s="25" t="s">
        <v>146</v>
      </c>
      <c r="F66" s="36" t="s">
        <v>148</v>
      </c>
      <c r="G66" s="33">
        <v>0</v>
      </c>
      <c r="H66" s="24" t="str">
        <f>IFERROR(VLOOKUP(B66,#REF!,12,FALSE),"")</f>
        <v/>
      </c>
    </row>
    <row r="67" spans="1:8" x14ac:dyDescent="0.2">
      <c r="A67" s="25"/>
      <c r="B67" s="25"/>
      <c r="C67" s="34"/>
      <c r="D67" s="25"/>
      <c r="E67" s="25"/>
      <c r="F67" s="35"/>
      <c r="G67" s="35"/>
      <c r="H67" s="24" t="str">
        <f>IFERROR(VLOOKUP(B67,#REF!,12,FALSE),"")</f>
        <v/>
      </c>
    </row>
    <row r="68" spans="1:8" x14ac:dyDescent="0.2">
      <c r="A68" s="25"/>
      <c r="B68" s="25"/>
      <c r="C68" s="26" t="s">
        <v>156</v>
      </c>
      <c r="D68" s="25"/>
      <c r="E68" s="25"/>
      <c r="F68" s="25"/>
      <c r="G68" s="25"/>
      <c r="H68" s="24" t="str">
        <f>IFERROR(VLOOKUP(B68,#REF!,12,FALSE),"")</f>
        <v/>
      </c>
    </row>
    <row r="69" spans="1:8" x14ac:dyDescent="0.2">
      <c r="A69" s="25"/>
      <c r="B69" s="25"/>
      <c r="C69" s="26" t="s">
        <v>145</v>
      </c>
      <c r="D69" s="25"/>
      <c r="E69" s="25" t="s">
        <v>146</v>
      </c>
      <c r="F69" s="36" t="s">
        <v>148</v>
      </c>
      <c r="G69" s="33">
        <v>0</v>
      </c>
      <c r="H69" s="24" t="str">
        <f>IFERROR(VLOOKUP(B69,#REF!,12,FALSE),"")</f>
        <v/>
      </c>
    </row>
    <row r="70" spans="1:8" x14ac:dyDescent="0.2">
      <c r="A70" s="25"/>
      <c r="B70" s="25"/>
      <c r="C70" s="34"/>
      <c r="D70" s="25"/>
      <c r="E70" s="25"/>
      <c r="F70" s="35"/>
      <c r="G70" s="35"/>
      <c r="H70" s="24" t="str">
        <f>IFERROR(VLOOKUP(B70,#REF!,12,FALSE),"")</f>
        <v/>
      </c>
    </row>
    <row r="71" spans="1:8" x14ac:dyDescent="0.2">
      <c r="A71" s="25"/>
      <c r="B71" s="25"/>
      <c r="C71" s="26" t="s">
        <v>157</v>
      </c>
      <c r="D71" s="25"/>
      <c r="E71" s="25"/>
      <c r="F71" s="35"/>
      <c r="G71" s="35"/>
      <c r="H71" s="24" t="str">
        <f>IFERROR(VLOOKUP(B71,#REF!,12,FALSE),"")</f>
        <v/>
      </c>
    </row>
    <row r="72" spans="1:8" x14ac:dyDescent="0.2">
      <c r="A72" s="25"/>
      <c r="B72" s="25"/>
      <c r="C72" s="26" t="s">
        <v>145</v>
      </c>
      <c r="D72" s="25"/>
      <c r="E72" s="25" t="s">
        <v>146</v>
      </c>
      <c r="F72" s="36" t="s">
        <v>148</v>
      </c>
      <c r="G72" s="33">
        <v>0</v>
      </c>
      <c r="H72" s="24" t="str">
        <f>IFERROR(VLOOKUP(B72,#REF!,12,FALSE),"")</f>
        <v/>
      </c>
    </row>
    <row r="73" spans="1:8" x14ac:dyDescent="0.2">
      <c r="A73" s="25"/>
      <c r="B73" s="25"/>
      <c r="C73" s="34"/>
      <c r="D73" s="25"/>
      <c r="E73" s="25"/>
      <c r="F73" s="35"/>
      <c r="G73" s="35"/>
      <c r="H73" s="24" t="str">
        <f>IFERROR(VLOOKUP(B73,#REF!,12,FALSE),"")</f>
        <v/>
      </c>
    </row>
    <row r="74" spans="1:8" x14ac:dyDescent="0.2">
      <c r="A74" s="25"/>
      <c r="B74" s="25"/>
      <c r="C74" s="26" t="s">
        <v>158</v>
      </c>
      <c r="D74" s="25"/>
      <c r="E74" s="25"/>
      <c r="F74" s="32">
        <v>0</v>
      </c>
      <c r="G74" s="33">
        <v>0</v>
      </c>
      <c r="H74" s="24" t="str">
        <f>IFERROR(VLOOKUP(B74,#REF!,12,FALSE),"")</f>
        <v/>
      </c>
    </row>
    <row r="75" spans="1:8" x14ac:dyDescent="0.2">
      <c r="A75" s="25"/>
      <c r="B75" s="25"/>
      <c r="C75" s="34"/>
      <c r="D75" s="25"/>
      <c r="E75" s="25"/>
      <c r="F75" s="35"/>
      <c r="G75" s="35"/>
      <c r="H75" s="24" t="str">
        <f>IFERROR(VLOOKUP(B75,#REF!,12,FALSE),"")</f>
        <v/>
      </c>
    </row>
    <row r="76" spans="1:8" x14ac:dyDescent="0.2">
      <c r="A76" s="25"/>
      <c r="B76" s="25"/>
      <c r="C76" s="26" t="s">
        <v>159</v>
      </c>
      <c r="D76" s="25"/>
      <c r="E76" s="25"/>
      <c r="F76" s="35"/>
      <c r="G76" s="35"/>
      <c r="H76" s="24" t="str">
        <f>IFERROR(VLOOKUP(B76,#REF!,12,FALSE),"")</f>
        <v/>
      </c>
    </row>
    <row r="77" spans="1:8" x14ac:dyDescent="0.2">
      <c r="A77" s="25"/>
      <c r="B77" s="25"/>
      <c r="C77" s="26" t="s">
        <v>160</v>
      </c>
      <c r="D77" s="25"/>
      <c r="E77" s="25"/>
      <c r="F77" s="35"/>
      <c r="G77" s="35"/>
      <c r="H77" s="24" t="str">
        <f>IFERROR(VLOOKUP(B77,#REF!,12,FALSE),"")</f>
        <v/>
      </c>
    </row>
    <row r="78" spans="1:8" x14ac:dyDescent="0.2">
      <c r="A78" s="25"/>
      <c r="B78" s="25"/>
      <c r="C78" s="26" t="s">
        <v>145</v>
      </c>
      <c r="D78" s="25"/>
      <c r="E78" s="25" t="s">
        <v>146</v>
      </c>
      <c r="F78" s="36" t="s">
        <v>148</v>
      </c>
      <c r="G78" s="33">
        <v>0</v>
      </c>
      <c r="H78" s="24" t="str">
        <f>IFERROR(VLOOKUP(B78,#REF!,12,FALSE),"")</f>
        <v/>
      </c>
    </row>
    <row r="79" spans="1:8" x14ac:dyDescent="0.2">
      <c r="A79" s="25"/>
      <c r="B79" s="25"/>
      <c r="C79" s="34"/>
      <c r="D79" s="25"/>
      <c r="E79" s="25"/>
      <c r="F79" s="35"/>
      <c r="G79" s="35"/>
      <c r="H79" s="24" t="str">
        <f>IFERROR(VLOOKUP(B79,#REF!,12,FALSE),"")</f>
        <v/>
      </c>
    </row>
    <row r="80" spans="1:8" x14ac:dyDescent="0.2">
      <c r="A80" s="25"/>
      <c r="B80" s="25"/>
      <c r="C80" s="26" t="s">
        <v>161</v>
      </c>
      <c r="D80" s="25"/>
      <c r="E80" s="25"/>
      <c r="F80" s="35"/>
      <c r="G80" s="35"/>
      <c r="H80" s="24" t="str">
        <f>IFERROR(VLOOKUP(B80,#REF!,12,FALSE),"")</f>
        <v/>
      </c>
    </row>
    <row r="81" spans="1:8" x14ac:dyDescent="0.2">
      <c r="A81" s="25"/>
      <c r="B81" s="25"/>
      <c r="C81" s="26" t="s">
        <v>145</v>
      </c>
      <c r="D81" s="25"/>
      <c r="E81" s="25" t="s">
        <v>146</v>
      </c>
      <c r="F81" s="36" t="s">
        <v>148</v>
      </c>
      <c r="G81" s="33">
        <v>0</v>
      </c>
      <c r="H81" s="24" t="str">
        <f>IFERROR(VLOOKUP(B81,#REF!,12,FALSE),"")</f>
        <v/>
      </c>
    </row>
    <row r="82" spans="1:8" x14ac:dyDescent="0.2">
      <c r="A82" s="25"/>
      <c r="B82" s="25"/>
      <c r="C82" s="34"/>
      <c r="D82" s="25"/>
      <c r="E82" s="25"/>
      <c r="F82" s="35"/>
      <c r="G82" s="35"/>
      <c r="H82" s="24" t="str">
        <f>IFERROR(VLOOKUP(B82,#REF!,12,FALSE),"")</f>
        <v/>
      </c>
    </row>
    <row r="83" spans="1:8" x14ac:dyDescent="0.2">
      <c r="A83" s="25"/>
      <c r="B83" s="25"/>
      <c r="C83" s="26" t="s">
        <v>162</v>
      </c>
      <c r="D83" s="25"/>
      <c r="E83" s="25"/>
      <c r="F83" s="35"/>
      <c r="G83" s="35"/>
      <c r="H83" s="24" t="str">
        <f>IFERROR(VLOOKUP(B83,#REF!,12,FALSE),"")</f>
        <v/>
      </c>
    </row>
    <row r="84" spans="1:8" x14ac:dyDescent="0.2">
      <c r="A84" s="25"/>
      <c r="B84" s="25"/>
      <c r="C84" s="26" t="s">
        <v>145</v>
      </c>
      <c r="D84" s="25"/>
      <c r="E84" s="25" t="s">
        <v>146</v>
      </c>
      <c r="F84" s="36" t="s">
        <v>148</v>
      </c>
      <c r="G84" s="33">
        <v>0</v>
      </c>
      <c r="H84" s="24" t="str">
        <f>IFERROR(VLOOKUP(B84,#REF!,12,FALSE),"")</f>
        <v/>
      </c>
    </row>
    <row r="85" spans="1:8" x14ac:dyDescent="0.2">
      <c r="A85" s="25"/>
      <c r="B85" s="25"/>
      <c r="C85" s="34"/>
      <c r="D85" s="25"/>
      <c r="E85" s="25"/>
      <c r="F85" s="35"/>
      <c r="G85" s="35"/>
      <c r="H85" s="24" t="str">
        <f>IFERROR(VLOOKUP(B85,#REF!,12,FALSE),"")</f>
        <v/>
      </c>
    </row>
    <row r="86" spans="1:8" x14ac:dyDescent="0.2">
      <c r="A86" s="25"/>
      <c r="B86" s="25"/>
      <c r="C86" s="26" t="s">
        <v>163</v>
      </c>
      <c r="D86" s="25"/>
      <c r="E86" s="25"/>
      <c r="F86" s="35"/>
      <c r="G86" s="35"/>
      <c r="H86" s="24" t="str">
        <f>IFERROR(VLOOKUP(B86,#REF!,12,FALSE),"")</f>
        <v/>
      </c>
    </row>
    <row r="87" spans="1:8" x14ac:dyDescent="0.2">
      <c r="A87" s="27">
        <v>1</v>
      </c>
      <c r="B87" s="28"/>
      <c r="C87" s="28" t="s">
        <v>164</v>
      </c>
      <c r="D87" s="28"/>
      <c r="E87" s="38"/>
      <c r="F87" s="30">
        <v>133.33147880000001</v>
      </c>
      <c r="G87" s="31">
        <v>3.7755030000000002E-2</v>
      </c>
      <c r="H87" s="24">
        <v>6.57</v>
      </c>
    </row>
    <row r="88" spans="1:8" x14ac:dyDescent="0.2">
      <c r="A88" s="25"/>
      <c r="B88" s="25"/>
      <c r="C88" s="26" t="s">
        <v>145</v>
      </c>
      <c r="D88" s="25"/>
      <c r="E88" s="25" t="s">
        <v>146</v>
      </c>
      <c r="F88" s="32">
        <v>133.33147880000001</v>
      </c>
      <c r="G88" s="33">
        <v>3.7755030000000002E-2</v>
      </c>
      <c r="H88" s="24" t="str">
        <f>IFERROR(VLOOKUP(B88,#REF!,12,FALSE),"")</f>
        <v/>
      </c>
    </row>
    <row r="89" spans="1:8" x14ac:dyDescent="0.2">
      <c r="A89" s="25"/>
      <c r="B89" s="25"/>
      <c r="C89" s="34"/>
      <c r="D89" s="25"/>
      <c r="E89" s="25"/>
      <c r="F89" s="35"/>
      <c r="G89" s="35"/>
      <c r="H89" s="24" t="str">
        <f>IFERROR(VLOOKUP(B89,#REF!,12,FALSE),"")</f>
        <v/>
      </c>
    </row>
    <row r="90" spans="1:8" x14ac:dyDescent="0.2">
      <c r="A90" s="25"/>
      <c r="B90" s="25"/>
      <c r="C90" s="26" t="s">
        <v>165</v>
      </c>
      <c r="D90" s="25"/>
      <c r="E90" s="25"/>
      <c r="F90" s="32">
        <v>133.33147880000001</v>
      </c>
      <c r="G90" s="33">
        <v>3.7755030000000002E-2</v>
      </c>
      <c r="H90" s="24" t="str">
        <f>IFERROR(VLOOKUP(B90,#REF!,12,FALSE),"")</f>
        <v/>
      </c>
    </row>
    <row r="91" spans="1:8" x14ac:dyDescent="0.2">
      <c r="A91" s="25"/>
      <c r="B91" s="25"/>
      <c r="C91" s="35"/>
      <c r="D91" s="25"/>
      <c r="E91" s="25"/>
      <c r="F91" s="25"/>
      <c r="G91" s="25"/>
      <c r="H91" s="24" t="str">
        <f>IFERROR(VLOOKUP(B91,#REF!,12,FALSE),"")</f>
        <v/>
      </c>
    </row>
    <row r="92" spans="1:8" x14ac:dyDescent="0.2">
      <c r="A92" s="25"/>
      <c r="B92" s="25"/>
      <c r="C92" s="26" t="s">
        <v>166</v>
      </c>
      <c r="D92" s="25"/>
      <c r="E92" s="25"/>
      <c r="F92" s="25"/>
      <c r="G92" s="25"/>
      <c r="H92" s="24" t="str">
        <f>IFERROR(VLOOKUP(B92,#REF!,12,FALSE),"")</f>
        <v/>
      </c>
    </row>
    <row r="93" spans="1:8" x14ac:dyDescent="0.2">
      <c r="A93" s="25"/>
      <c r="B93" s="25"/>
      <c r="C93" s="26" t="s">
        <v>167</v>
      </c>
      <c r="D93" s="25"/>
      <c r="E93" s="25"/>
      <c r="F93" s="25"/>
      <c r="G93" s="25"/>
      <c r="H93" s="24" t="str">
        <f>IFERROR(VLOOKUP(B93,#REF!,12,FALSE),"")</f>
        <v/>
      </c>
    </row>
    <row r="94" spans="1:8" x14ac:dyDescent="0.2">
      <c r="A94" s="25"/>
      <c r="B94" s="25"/>
      <c r="C94" s="26" t="s">
        <v>145</v>
      </c>
      <c r="D94" s="25"/>
      <c r="E94" s="25" t="s">
        <v>146</v>
      </c>
      <c r="F94" s="36" t="s">
        <v>148</v>
      </c>
      <c r="G94" s="33">
        <v>0</v>
      </c>
      <c r="H94" s="24" t="str">
        <f>IFERROR(VLOOKUP(B94,#REF!,12,FALSE),"")</f>
        <v/>
      </c>
    </row>
    <row r="95" spans="1:8" x14ac:dyDescent="0.2">
      <c r="A95" s="25"/>
      <c r="B95" s="25"/>
      <c r="C95" s="34"/>
      <c r="D95" s="25"/>
      <c r="E95" s="25"/>
      <c r="F95" s="35"/>
      <c r="G95" s="35"/>
      <c r="H95" s="24" t="str">
        <f>IFERROR(VLOOKUP(B95,#REF!,12,FALSE),"")</f>
        <v/>
      </c>
    </row>
    <row r="96" spans="1:8" x14ac:dyDescent="0.2">
      <c r="A96" s="25"/>
      <c r="B96" s="25"/>
      <c r="C96" s="26" t="s">
        <v>168</v>
      </c>
      <c r="D96" s="25"/>
      <c r="E96" s="25"/>
      <c r="F96" s="25"/>
      <c r="G96" s="25"/>
      <c r="H96" s="24" t="str">
        <f>IFERROR(VLOOKUP(B96,#REF!,12,FALSE),"")</f>
        <v/>
      </c>
    </row>
    <row r="97" spans="1:17" x14ac:dyDescent="0.2">
      <c r="A97" s="25"/>
      <c r="B97" s="25"/>
      <c r="C97" s="26" t="s">
        <v>169</v>
      </c>
      <c r="D97" s="25"/>
      <c r="E97" s="25"/>
      <c r="F97" s="25"/>
      <c r="G97" s="25"/>
      <c r="H97" s="24" t="str">
        <f>IFERROR(VLOOKUP(B97,#REF!,12,FALSE),"")</f>
        <v/>
      </c>
    </row>
    <row r="98" spans="1:17" x14ac:dyDescent="0.2">
      <c r="A98" s="25"/>
      <c r="B98" s="25"/>
      <c r="C98" s="26" t="s">
        <v>145</v>
      </c>
      <c r="D98" s="25"/>
      <c r="E98" s="25" t="s">
        <v>146</v>
      </c>
      <c r="F98" s="36" t="s">
        <v>148</v>
      </c>
      <c r="G98" s="33">
        <v>0</v>
      </c>
      <c r="H98" s="24" t="str">
        <f>IFERROR(VLOOKUP(B98,#REF!,12,FALSE),"")</f>
        <v/>
      </c>
    </row>
    <row r="99" spans="1:17" x14ac:dyDescent="0.2">
      <c r="A99" s="25"/>
      <c r="B99" s="25"/>
      <c r="C99" s="34"/>
      <c r="D99" s="25"/>
      <c r="E99" s="25"/>
      <c r="F99" s="35"/>
      <c r="G99" s="35"/>
      <c r="H99" s="24" t="str">
        <f>IFERROR(VLOOKUP(B99,#REF!,12,FALSE),"")</f>
        <v/>
      </c>
    </row>
    <row r="100" spans="1:17" x14ac:dyDescent="0.2">
      <c r="A100" s="25"/>
      <c r="B100" s="25"/>
      <c r="C100" s="26" t="s">
        <v>170</v>
      </c>
      <c r="D100" s="25"/>
      <c r="E100" s="25"/>
      <c r="F100" s="35"/>
      <c r="G100" s="35"/>
      <c r="H100" s="24" t="str">
        <f>IFERROR(VLOOKUP(B100,#REF!,12,FALSE),"")</f>
        <v/>
      </c>
    </row>
    <row r="101" spans="1:17" x14ac:dyDescent="0.2">
      <c r="A101" s="25"/>
      <c r="B101" s="25"/>
      <c r="C101" s="26" t="s">
        <v>145</v>
      </c>
      <c r="D101" s="25"/>
      <c r="E101" s="25" t="s">
        <v>146</v>
      </c>
      <c r="F101" s="36" t="s">
        <v>148</v>
      </c>
      <c r="G101" s="33">
        <v>0</v>
      </c>
      <c r="H101" s="24" t="str">
        <f>IFERROR(VLOOKUP(B101,#REF!,12,FALSE),"")</f>
        <v/>
      </c>
    </row>
    <row r="102" spans="1:17" x14ac:dyDescent="0.2">
      <c r="A102" s="25"/>
      <c r="B102" s="25"/>
      <c r="C102" s="34"/>
      <c r="D102" s="25"/>
      <c r="E102" s="25"/>
      <c r="F102" s="35"/>
      <c r="G102" s="35"/>
      <c r="H102" s="24" t="str">
        <f>IFERROR(VLOOKUP(B102,#REF!,12,FALSE),"")</f>
        <v/>
      </c>
    </row>
    <row r="103" spans="1:17" x14ac:dyDescent="0.2">
      <c r="A103" s="25"/>
      <c r="B103" s="28"/>
      <c r="C103" s="28"/>
      <c r="D103" s="26"/>
      <c r="E103" s="25"/>
      <c r="F103" s="28"/>
      <c r="G103" s="38"/>
      <c r="H103" s="24" t="str">
        <f>IFERROR(VLOOKUP(B103,#REF!,12,FALSE),"")</f>
        <v/>
      </c>
    </row>
    <row r="104" spans="1:17" x14ac:dyDescent="0.2">
      <c r="A104" s="38"/>
      <c r="B104" s="28"/>
      <c r="C104" s="28" t="s">
        <v>171</v>
      </c>
      <c r="D104" s="28"/>
      <c r="E104" s="38"/>
      <c r="F104" s="30">
        <v>-2.0509963</v>
      </c>
      <c r="G104" s="31">
        <v>-5.8076999999999998E-4</v>
      </c>
      <c r="H104" s="24" t="str">
        <f>IFERROR(VLOOKUP(B104,#REF!,12,FALSE),"")</f>
        <v/>
      </c>
    </row>
    <row r="105" spans="1:17" x14ac:dyDescent="0.2">
      <c r="A105" s="34"/>
      <c r="B105" s="34"/>
      <c r="C105" s="26" t="s">
        <v>172</v>
      </c>
      <c r="D105" s="35"/>
      <c r="E105" s="35"/>
      <c r="F105" s="32">
        <v>3531.4888424000001</v>
      </c>
      <c r="G105" s="39">
        <v>1.00000004</v>
      </c>
      <c r="H105" s="24" t="str">
        <f>IFERROR(VLOOKUP(B105,#REF!,12,FALSE),"")</f>
        <v/>
      </c>
    </row>
    <row r="106" spans="1:17" x14ac:dyDescent="0.2">
      <c r="A106" s="40"/>
      <c r="B106" s="40"/>
      <c r="C106" s="40"/>
      <c r="D106" s="41"/>
      <c r="E106" s="41"/>
      <c r="F106" s="41"/>
      <c r="G106" s="41"/>
    </row>
    <row r="107" spans="1:17" x14ac:dyDescent="0.2">
      <c r="A107" s="42"/>
      <c r="B107" s="236" t="s">
        <v>858</v>
      </c>
      <c r="C107" s="236"/>
      <c r="D107" s="236"/>
      <c r="E107" s="236"/>
      <c r="F107" s="236"/>
      <c r="G107" s="236"/>
      <c r="H107" s="236"/>
      <c r="J107" s="44"/>
    </row>
    <row r="108" spans="1:17" x14ac:dyDescent="0.2">
      <c r="A108" s="42"/>
      <c r="B108" s="236" t="s">
        <v>859</v>
      </c>
      <c r="C108" s="236"/>
      <c r="D108" s="236"/>
      <c r="E108" s="236"/>
      <c r="F108" s="236"/>
      <c r="G108" s="236"/>
      <c r="H108" s="236"/>
      <c r="J108" s="44"/>
    </row>
    <row r="109" spans="1:17" x14ac:dyDescent="0.2">
      <c r="A109" s="42"/>
      <c r="B109" s="236" t="s">
        <v>860</v>
      </c>
      <c r="C109" s="236"/>
      <c r="D109" s="236"/>
      <c r="E109" s="236"/>
      <c r="F109" s="236"/>
      <c r="G109" s="236"/>
      <c r="H109" s="236"/>
      <c r="J109" s="44"/>
    </row>
    <row r="110" spans="1:17" s="46" customFormat="1" ht="66.75" customHeight="1" x14ac:dyDescent="0.25">
      <c r="A110" s="45"/>
      <c r="B110" s="237" t="s">
        <v>861</v>
      </c>
      <c r="C110" s="237"/>
      <c r="D110" s="237"/>
      <c r="E110" s="237"/>
      <c r="F110" s="237"/>
      <c r="G110" s="237"/>
      <c r="H110" s="237"/>
      <c r="I110"/>
      <c r="J110" s="44"/>
      <c r="K110"/>
      <c r="L110"/>
      <c r="M110"/>
      <c r="N110"/>
      <c r="O110"/>
      <c r="P110"/>
      <c r="Q110"/>
    </row>
    <row r="111" spans="1:17" x14ac:dyDescent="0.2">
      <c r="A111" s="42"/>
      <c r="B111" s="236" t="s">
        <v>862</v>
      </c>
      <c r="C111" s="236"/>
      <c r="D111" s="236"/>
      <c r="E111" s="236"/>
      <c r="F111" s="236"/>
      <c r="G111" s="236"/>
      <c r="H111" s="236"/>
      <c r="J111" s="44"/>
    </row>
    <row r="112" spans="1:17" x14ac:dyDescent="0.2">
      <c r="A112" s="47"/>
      <c r="B112" s="47"/>
      <c r="C112" s="47"/>
      <c r="D112" s="48"/>
      <c r="E112" s="48"/>
      <c r="F112" s="48"/>
      <c r="G112" s="48"/>
    </row>
    <row r="113" spans="1:10" x14ac:dyDescent="0.2">
      <c r="A113" s="47"/>
      <c r="B113" s="233" t="s">
        <v>173</v>
      </c>
      <c r="C113" s="234"/>
      <c r="D113" s="235"/>
      <c r="E113" s="49"/>
      <c r="F113" s="48"/>
      <c r="G113" s="48"/>
    </row>
    <row r="114" spans="1:10" ht="25.5" customHeight="1" x14ac:dyDescent="0.2">
      <c r="A114" s="47"/>
      <c r="B114" s="231" t="s">
        <v>174</v>
      </c>
      <c r="C114" s="232"/>
      <c r="D114" s="26" t="s">
        <v>175</v>
      </c>
      <c r="E114" s="49"/>
      <c r="F114" s="48"/>
      <c r="G114" s="48"/>
    </row>
    <row r="115" spans="1:10" ht="12.75" customHeight="1" x14ac:dyDescent="0.2">
      <c r="A115" s="42"/>
      <c r="B115" s="227" t="s">
        <v>863</v>
      </c>
      <c r="C115" s="228"/>
      <c r="D115" s="50" t="s">
        <v>175</v>
      </c>
      <c r="E115" s="51"/>
      <c r="F115" s="52"/>
      <c r="G115" s="52"/>
    </row>
    <row r="116" spans="1:10" x14ac:dyDescent="0.2">
      <c r="A116" s="47"/>
      <c r="B116" s="231" t="s">
        <v>176</v>
      </c>
      <c r="C116" s="232"/>
      <c r="D116" s="35" t="s">
        <v>146</v>
      </c>
      <c r="E116" s="49"/>
      <c r="F116" s="48"/>
      <c r="G116" s="48"/>
    </row>
    <row r="117" spans="1:10" x14ac:dyDescent="0.2">
      <c r="A117" s="53"/>
      <c r="B117" s="54" t="s">
        <v>146</v>
      </c>
      <c r="C117" s="54" t="s">
        <v>864</v>
      </c>
      <c r="D117" s="54" t="s">
        <v>177</v>
      </c>
      <c r="E117" s="53"/>
      <c r="F117" s="53"/>
      <c r="G117" s="53"/>
      <c r="J117" s="44"/>
    </row>
    <row r="118" spans="1:10" x14ac:dyDescent="0.2">
      <c r="A118" s="53"/>
      <c r="B118" s="55" t="s">
        <v>178</v>
      </c>
      <c r="C118" s="56">
        <v>45657</v>
      </c>
      <c r="D118" s="56">
        <v>45688</v>
      </c>
      <c r="E118" s="53"/>
      <c r="F118" s="53"/>
      <c r="G118" s="53"/>
      <c r="J118" s="44"/>
    </row>
    <row r="119" spans="1:10" x14ac:dyDescent="0.2">
      <c r="A119" s="57"/>
      <c r="B119" s="28" t="s">
        <v>179</v>
      </c>
      <c r="C119" s="58">
        <v>29.18</v>
      </c>
      <c r="D119" s="58">
        <v>27.4282</v>
      </c>
      <c r="E119" s="57"/>
      <c r="F119" s="59"/>
      <c r="G119" s="60"/>
    </row>
    <row r="120" spans="1:10" x14ac:dyDescent="0.2">
      <c r="A120" s="57"/>
      <c r="B120" s="28" t="s">
        <v>1025</v>
      </c>
      <c r="C120" s="58">
        <v>27.773499999999999</v>
      </c>
      <c r="D120" s="58">
        <v>26.106000000000002</v>
      </c>
      <c r="E120" s="57"/>
      <c r="F120" s="59"/>
      <c r="G120" s="60"/>
    </row>
    <row r="121" spans="1:10" x14ac:dyDescent="0.2">
      <c r="A121" s="57"/>
      <c r="B121" s="28" t="s">
        <v>180</v>
      </c>
      <c r="C121" s="58">
        <v>28.555199999999999</v>
      </c>
      <c r="D121" s="58">
        <v>26.8384</v>
      </c>
      <c r="E121" s="57"/>
      <c r="F121" s="59"/>
      <c r="G121" s="60"/>
    </row>
    <row r="122" spans="1:10" x14ac:dyDescent="0.2">
      <c r="A122" s="57"/>
      <c r="B122" s="28" t="s">
        <v>1026</v>
      </c>
      <c r="C122" s="58">
        <v>27.15</v>
      </c>
      <c r="D122" s="58">
        <v>25.517600000000002</v>
      </c>
      <c r="E122" s="57"/>
      <c r="F122" s="59"/>
      <c r="G122" s="60"/>
    </row>
    <row r="123" spans="1:10" x14ac:dyDescent="0.2">
      <c r="A123" s="57"/>
      <c r="B123" s="57"/>
      <c r="C123" s="57"/>
      <c r="D123" s="57"/>
      <c r="E123" s="57"/>
      <c r="F123" s="57"/>
      <c r="G123" s="57"/>
    </row>
    <row r="124" spans="1:10" x14ac:dyDescent="0.2">
      <c r="A124" s="53"/>
      <c r="B124" s="227" t="s">
        <v>865</v>
      </c>
      <c r="C124" s="228"/>
      <c r="D124" s="50" t="s">
        <v>175</v>
      </c>
      <c r="E124" s="53"/>
      <c r="F124" s="53"/>
      <c r="G124" s="53"/>
    </row>
    <row r="125" spans="1:10" x14ac:dyDescent="0.2">
      <c r="A125" s="53"/>
      <c r="B125" s="74"/>
      <c r="C125" s="74"/>
      <c r="D125" s="74"/>
      <c r="E125" s="53"/>
      <c r="F125" s="53"/>
      <c r="G125" s="53"/>
    </row>
    <row r="126" spans="1:10" x14ac:dyDescent="0.2">
      <c r="A126" s="53"/>
      <c r="B126" s="227" t="s">
        <v>181</v>
      </c>
      <c r="C126" s="228"/>
      <c r="D126" s="50" t="s">
        <v>175</v>
      </c>
      <c r="E126" s="64"/>
      <c r="F126" s="53"/>
      <c r="G126" s="53"/>
    </row>
    <row r="127" spans="1:10" x14ac:dyDescent="0.2">
      <c r="A127" s="53"/>
      <c r="B127" s="227" t="s">
        <v>182</v>
      </c>
      <c r="C127" s="228"/>
      <c r="D127" s="50" t="s">
        <v>175</v>
      </c>
      <c r="E127" s="64"/>
      <c r="F127" s="53"/>
      <c r="G127" s="53"/>
    </row>
    <row r="128" spans="1:10" x14ac:dyDescent="0.2">
      <c r="A128" s="53"/>
      <c r="B128" s="227" t="s">
        <v>183</v>
      </c>
      <c r="C128" s="228"/>
      <c r="D128" s="50" t="s">
        <v>175</v>
      </c>
      <c r="E128" s="64"/>
      <c r="F128" s="53"/>
      <c r="G128" s="53"/>
    </row>
    <row r="129" spans="1:10" x14ac:dyDescent="0.2">
      <c r="A129" s="53"/>
      <c r="B129" s="227" t="s">
        <v>184</v>
      </c>
      <c r="C129" s="228"/>
      <c r="D129" s="65">
        <v>0.31645899785305043</v>
      </c>
      <c r="E129" s="53"/>
      <c r="F129" s="43"/>
      <c r="G129" s="63"/>
    </row>
    <row r="131" spans="1:10" x14ac:dyDescent="0.2">
      <c r="B131" s="229" t="s">
        <v>866</v>
      </c>
      <c r="C131" s="229"/>
    </row>
    <row r="133" spans="1:10" ht="153.75" customHeight="1" x14ac:dyDescent="0.2"/>
    <row r="136" spans="1:10" x14ac:dyDescent="0.2">
      <c r="B136" s="66" t="s">
        <v>867</v>
      </c>
      <c r="C136" s="67"/>
      <c r="D136" s="66"/>
    </row>
    <row r="137" spans="1:10" x14ac:dyDescent="0.2">
      <c r="B137" s="66" t="s">
        <v>879</v>
      </c>
      <c r="D137" s="66"/>
    </row>
    <row r="138" spans="1:10" ht="165" customHeight="1" x14ac:dyDescent="0.2"/>
    <row r="139" spans="1:10" x14ac:dyDescent="0.2">
      <c r="J139" s="21"/>
    </row>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sheetData>
  <mergeCells count="18">
    <mergeCell ref="A1:H1"/>
    <mergeCell ref="A2:H2"/>
    <mergeCell ref="A3:H3"/>
    <mergeCell ref="B115:C115"/>
    <mergeCell ref="B116:C116"/>
    <mergeCell ref="B113:D113"/>
    <mergeCell ref="B114:C114"/>
    <mergeCell ref="B107:H107"/>
    <mergeCell ref="B108:H108"/>
    <mergeCell ref="B109:H109"/>
    <mergeCell ref="B110:H110"/>
    <mergeCell ref="B111:H111"/>
    <mergeCell ref="B126:C126"/>
    <mergeCell ref="B127:C127"/>
    <mergeCell ref="B131:C131"/>
    <mergeCell ref="B124:C124"/>
    <mergeCell ref="B128:C128"/>
    <mergeCell ref="B129:C129"/>
  </mergeCells>
  <hyperlinks>
    <hyperlink ref="I1" location="Index!B2" display="Index" xr:uid="{E5315DBD-F357-43F3-B77F-C494A4269AB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40557-85C0-497C-A279-7A87CCB3EBAD}">
  <sheetPr>
    <outlinePr summaryBelow="0" summaryRight="0"/>
  </sheetPr>
  <dimension ref="A1:Q140"/>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460</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350</v>
      </c>
      <c r="C7" s="28" t="s">
        <v>351</v>
      </c>
      <c r="D7" s="28" t="s">
        <v>233</v>
      </c>
      <c r="E7" s="29">
        <v>3236</v>
      </c>
      <c r="F7" s="30">
        <v>185.51826199999999</v>
      </c>
      <c r="G7" s="31">
        <v>6.1228749999999998E-2</v>
      </c>
      <c r="H7" s="24" t="s">
        <v>146</v>
      </c>
    </row>
    <row r="8" spans="1:9" x14ac:dyDescent="0.2">
      <c r="A8" s="27">
        <v>2</v>
      </c>
      <c r="B8" s="28" t="s">
        <v>379</v>
      </c>
      <c r="C8" s="28" t="s">
        <v>380</v>
      </c>
      <c r="D8" s="28" t="s">
        <v>39</v>
      </c>
      <c r="E8" s="29">
        <v>6658</v>
      </c>
      <c r="F8" s="30">
        <v>160.45779999999999</v>
      </c>
      <c r="G8" s="31">
        <v>5.2957749999999998E-2</v>
      </c>
      <c r="H8" s="24" t="s">
        <v>146</v>
      </c>
    </row>
    <row r="9" spans="1:9" x14ac:dyDescent="0.2">
      <c r="A9" s="27">
        <v>3</v>
      </c>
      <c r="B9" s="28" t="s">
        <v>377</v>
      </c>
      <c r="C9" s="28" t="s">
        <v>378</v>
      </c>
      <c r="D9" s="28" t="s">
        <v>208</v>
      </c>
      <c r="E9" s="29">
        <v>28701</v>
      </c>
      <c r="F9" s="30">
        <v>141.07976550000001</v>
      </c>
      <c r="G9" s="31">
        <v>4.6562190000000003E-2</v>
      </c>
      <c r="H9" s="24" t="s">
        <v>146</v>
      </c>
    </row>
    <row r="10" spans="1:9" x14ac:dyDescent="0.2">
      <c r="A10" s="27">
        <v>4</v>
      </c>
      <c r="B10" s="28" t="s">
        <v>133</v>
      </c>
      <c r="C10" s="28" t="s">
        <v>134</v>
      </c>
      <c r="D10" s="28" t="s">
        <v>39</v>
      </c>
      <c r="E10" s="29">
        <v>39512</v>
      </c>
      <c r="F10" s="30">
        <v>137.69932</v>
      </c>
      <c r="G10" s="31">
        <v>4.5446510000000002E-2</v>
      </c>
      <c r="H10" s="24" t="s">
        <v>146</v>
      </c>
    </row>
    <row r="11" spans="1:9" x14ac:dyDescent="0.2">
      <c r="A11" s="27">
        <v>5</v>
      </c>
      <c r="B11" s="28" t="s">
        <v>352</v>
      </c>
      <c r="C11" s="28" t="s">
        <v>353</v>
      </c>
      <c r="D11" s="28" t="s">
        <v>354</v>
      </c>
      <c r="E11" s="29">
        <v>8793</v>
      </c>
      <c r="F11" s="30">
        <v>132.5940435</v>
      </c>
      <c r="G11" s="31">
        <v>4.3761550000000003E-2</v>
      </c>
      <c r="H11" s="24" t="s">
        <v>146</v>
      </c>
    </row>
    <row r="12" spans="1:9" x14ac:dyDescent="0.2">
      <c r="A12" s="27">
        <v>6</v>
      </c>
      <c r="B12" s="28" t="s">
        <v>381</v>
      </c>
      <c r="C12" s="28" t="s">
        <v>382</v>
      </c>
      <c r="D12" s="28" t="s">
        <v>223</v>
      </c>
      <c r="E12" s="29">
        <v>43035</v>
      </c>
      <c r="F12" s="30">
        <v>124.62936000000001</v>
      </c>
      <c r="G12" s="31">
        <v>4.1132879999999997E-2</v>
      </c>
      <c r="H12" s="24" t="s">
        <v>146</v>
      </c>
    </row>
    <row r="13" spans="1:9" x14ac:dyDescent="0.2">
      <c r="A13" s="27">
        <v>7</v>
      </c>
      <c r="B13" s="28" t="s">
        <v>52</v>
      </c>
      <c r="C13" s="28" t="s">
        <v>53</v>
      </c>
      <c r="D13" s="28" t="s">
        <v>42</v>
      </c>
      <c r="E13" s="29">
        <v>2963</v>
      </c>
      <c r="F13" s="30">
        <v>119.219268</v>
      </c>
      <c r="G13" s="31">
        <v>3.9347319999999998E-2</v>
      </c>
      <c r="H13" s="24" t="s">
        <v>146</v>
      </c>
    </row>
    <row r="14" spans="1:9" ht="25.5" x14ac:dyDescent="0.2">
      <c r="A14" s="27">
        <v>8</v>
      </c>
      <c r="B14" s="28" t="s">
        <v>301</v>
      </c>
      <c r="C14" s="28" t="s">
        <v>302</v>
      </c>
      <c r="D14" s="28" t="s">
        <v>258</v>
      </c>
      <c r="E14" s="29">
        <v>2841</v>
      </c>
      <c r="F14" s="30">
        <v>117.86456699999999</v>
      </c>
      <c r="G14" s="31">
        <v>3.8900209999999998E-2</v>
      </c>
      <c r="H14" s="24" t="s">
        <v>146</v>
      </c>
    </row>
    <row r="15" spans="1:9" x14ac:dyDescent="0.2">
      <c r="A15" s="27">
        <v>9</v>
      </c>
      <c r="B15" s="28" t="s">
        <v>67</v>
      </c>
      <c r="C15" s="28" t="s">
        <v>68</v>
      </c>
      <c r="D15" s="28" t="s">
        <v>42</v>
      </c>
      <c r="E15" s="29">
        <v>15343</v>
      </c>
      <c r="F15" s="30">
        <v>107.7922465</v>
      </c>
      <c r="G15" s="31">
        <v>3.5575929999999999E-2</v>
      </c>
      <c r="H15" s="24" t="s">
        <v>146</v>
      </c>
    </row>
    <row r="16" spans="1:9" x14ac:dyDescent="0.2">
      <c r="A16" s="27">
        <v>10</v>
      </c>
      <c r="B16" s="28" t="s">
        <v>395</v>
      </c>
      <c r="C16" s="28" t="s">
        <v>396</v>
      </c>
      <c r="D16" s="28" t="s">
        <v>233</v>
      </c>
      <c r="E16" s="29">
        <v>4435</v>
      </c>
      <c r="F16" s="30">
        <v>104.04953500000001</v>
      </c>
      <c r="G16" s="31">
        <v>3.4340679999999998E-2</v>
      </c>
      <c r="H16" s="24" t="s">
        <v>146</v>
      </c>
    </row>
    <row r="17" spans="1:8" x14ac:dyDescent="0.2">
      <c r="A17" s="27">
        <v>11</v>
      </c>
      <c r="B17" s="28" t="s">
        <v>385</v>
      </c>
      <c r="C17" s="28" t="s">
        <v>386</v>
      </c>
      <c r="D17" s="28" t="s">
        <v>33</v>
      </c>
      <c r="E17" s="29">
        <v>31040</v>
      </c>
      <c r="F17" s="30">
        <v>95.013440000000003</v>
      </c>
      <c r="G17" s="31">
        <v>3.135839E-2</v>
      </c>
      <c r="H17" s="24" t="s">
        <v>146</v>
      </c>
    </row>
    <row r="18" spans="1:8" x14ac:dyDescent="0.2">
      <c r="A18" s="27">
        <v>12</v>
      </c>
      <c r="B18" s="28" t="s">
        <v>387</v>
      </c>
      <c r="C18" s="28" t="s">
        <v>388</v>
      </c>
      <c r="D18" s="28" t="s">
        <v>33</v>
      </c>
      <c r="E18" s="29">
        <v>141618</v>
      </c>
      <c r="F18" s="30">
        <v>94.175970000000007</v>
      </c>
      <c r="G18" s="31">
        <v>3.108199E-2</v>
      </c>
      <c r="H18" s="24" t="s">
        <v>146</v>
      </c>
    </row>
    <row r="19" spans="1:8" x14ac:dyDescent="0.2">
      <c r="A19" s="27">
        <v>13</v>
      </c>
      <c r="B19" s="28" t="s">
        <v>383</v>
      </c>
      <c r="C19" s="28" t="s">
        <v>384</v>
      </c>
      <c r="D19" s="28" t="s">
        <v>195</v>
      </c>
      <c r="E19" s="29">
        <v>13180</v>
      </c>
      <c r="F19" s="30">
        <v>92.147970000000001</v>
      </c>
      <c r="G19" s="31">
        <v>3.0412660000000001E-2</v>
      </c>
      <c r="H19" s="24" t="s">
        <v>146</v>
      </c>
    </row>
    <row r="20" spans="1:8" ht="25.5" x14ac:dyDescent="0.2">
      <c r="A20" s="27">
        <v>14</v>
      </c>
      <c r="B20" s="28" t="s">
        <v>415</v>
      </c>
      <c r="C20" s="28" t="s">
        <v>416</v>
      </c>
      <c r="D20" s="28" t="s">
        <v>198</v>
      </c>
      <c r="E20" s="29">
        <v>15078</v>
      </c>
      <c r="F20" s="30">
        <v>88.063058999999996</v>
      </c>
      <c r="G20" s="31">
        <v>2.9064469999999999E-2</v>
      </c>
      <c r="H20" s="24" t="s">
        <v>146</v>
      </c>
    </row>
    <row r="21" spans="1:8" x14ac:dyDescent="0.2">
      <c r="A21" s="27">
        <v>15</v>
      </c>
      <c r="B21" s="28" t="s">
        <v>389</v>
      </c>
      <c r="C21" s="28" t="s">
        <v>390</v>
      </c>
      <c r="D21" s="28" t="s">
        <v>33</v>
      </c>
      <c r="E21" s="29">
        <v>241296</v>
      </c>
      <c r="F21" s="30">
        <v>86.673523200000005</v>
      </c>
      <c r="G21" s="31">
        <v>2.8605869999999999E-2</v>
      </c>
      <c r="H21" s="24" t="s">
        <v>146</v>
      </c>
    </row>
    <row r="22" spans="1:8" ht="25.5" x14ac:dyDescent="0.2">
      <c r="A22" s="27">
        <v>16</v>
      </c>
      <c r="B22" s="28" t="s">
        <v>393</v>
      </c>
      <c r="C22" s="28" t="s">
        <v>394</v>
      </c>
      <c r="D22" s="28" t="s">
        <v>198</v>
      </c>
      <c r="E22" s="29">
        <v>1573</v>
      </c>
      <c r="F22" s="30">
        <v>84.668297999999993</v>
      </c>
      <c r="G22" s="31">
        <v>2.794406E-2</v>
      </c>
      <c r="H22" s="24" t="s">
        <v>146</v>
      </c>
    </row>
    <row r="23" spans="1:8" x14ac:dyDescent="0.2">
      <c r="A23" s="27">
        <v>17</v>
      </c>
      <c r="B23" s="28" t="s">
        <v>409</v>
      </c>
      <c r="C23" s="28" t="s">
        <v>410</v>
      </c>
      <c r="D23" s="28" t="s">
        <v>195</v>
      </c>
      <c r="E23" s="29">
        <v>15429</v>
      </c>
      <c r="F23" s="30">
        <v>82.483434000000003</v>
      </c>
      <c r="G23" s="31">
        <v>2.7222969999999999E-2</v>
      </c>
      <c r="H23" s="24" t="s">
        <v>146</v>
      </c>
    </row>
    <row r="24" spans="1:8" ht="25.5" x14ac:dyDescent="0.2">
      <c r="A24" s="27">
        <v>18</v>
      </c>
      <c r="B24" s="28" t="s">
        <v>402</v>
      </c>
      <c r="C24" s="28" t="s">
        <v>403</v>
      </c>
      <c r="D24" s="28" t="s">
        <v>404</v>
      </c>
      <c r="E24" s="29">
        <v>21854</v>
      </c>
      <c r="F24" s="30">
        <v>73.243680999999995</v>
      </c>
      <c r="G24" s="31">
        <v>2.4173460000000001E-2</v>
      </c>
      <c r="H24" s="24" t="s">
        <v>146</v>
      </c>
    </row>
    <row r="25" spans="1:8" x14ac:dyDescent="0.2">
      <c r="A25" s="27">
        <v>19</v>
      </c>
      <c r="B25" s="28" t="s">
        <v>407</v>
      </c>
      <c r="C25" s="28" t="s">
        <v>408</v>
      </c>
      <c r="D25" s="28" t="s">
        <v>120</v>
      </c>
      <c r="E25" s="29">
        <v>10672</v>
      </c>
      <c r="F25" s="30">
        <v>71.256944000000004</v>
      </c>
      <c r="G25" s="31">
        <v>2.3517759999999999E-2</v>
      </c>
      <c r="H25" s="24" t="s">
        <v>146</v>
      </c>
    </row>
    <row r="26" spans="1:8" x14ac:dyDescent="0.2">
      <c r="A26" s="27">
        <v>20</v>
      </c>
      <c r="B26" s="28" t="s">
        <v>45</v>
      </c>
      <c r="C26" s="28" t="s">
        <v>46</v>
      </c>
      <c r="D26" s="28" t="s">
        <v>47</v>
      </c>
      <c r="E26" s="29">
        <v>5587</v>
      </c>
      <c r="F26" s="30">
        <v>65.4265635</v>
      </c>
      <c r="G26" s="31">
        <v>2.159349E-2</v>
      </c>
      <c r="H26" s="24" t="s">
        <v>146</v>
      </c>
    </row>
    <row r="27" spans="1:8" x14ac:dyDescent="0.2">
      <c r="A27" s="27">
        <v>21</v>
      </c>
      <c r="B27" s="28" t="s">
        <v>59</v>
      </c>
      <c r="C27" s="28" t="s">
        <v>60</v>
      </c>
      <c r="D27" s="28" t="s">
        <v>13</v>
      </c>
      <c r="E27" s="29">
        <v>6049</v>
      </c>
      <c r="F27" s="30">
        <v>64.037738500000003</v>
      </c>
      <c r="G27" s="31">
        <v>2.113512E-2</v>
      </c>
      <c r="H27" s="24" t="s">
        <v>146</v>
      </c>
    </row>
    <row r="28" spans="1:8" x14ac:dyDescent="0.2">
      <c r="A28" s="27">
        <v>22</v>
      </c>
      <c r="B28" s="28" t="s">
        <v>399</v>
      </c>
      <c r="C28" s="28" t="s">
        <v>400</v>
      </c>
      <c r="D28" s="28" t="s">
        <v>401</v>
      </c>
      <c r="E28" s="29">
        <v>5857</v>
      </c>
      <c r="F28" s="30">
        <v>63.870584999999998</v>
      </c>
      <c r="G28" s="31">
        <v>2.107995E-2</v>
      </c>
      <c r="H28" s="24" t="s">
        <v>146</v>
      </c>
    </row>
    <row r="29" spans="1:8" x14ac:dyDescent="0.2">
      <c r="A29" s="27">
        <v>23</v>
      </c>
      <c r="B29" s="28" t="s">
        <v>40</v>
      </c>
      <c r="C29" s="28" t="s">
        <v>41</v>
      </c>
      <c r="D29" s="28" t="s">
        <v>42</v>
      </c>
      <c r="E29" s="29">
        <v>1222</v>
      </c>
      <c r="F29" s="30">
        <v>61.24053</v>
      </c>
      <c r="G29" s="31">
        <v>2.0211920000000001E-2</v>
      </c>
      <c r="H29" s="24" t="s">
        <v>146</v>
      </c>
    </row>
    <row r="30" spans="1:8" ht="25.5" x14ac:dyDescent="0.2">
      <c r="A30" s="27">
        <v>24</v>
      </c>
      <c r="B30" s="28" t="s">
        <v>50</v>
      </c>
      <c r="C30" s="28" t="s">
        <v>51</v>
      </c>
      <c r="D30" s="28" t="s">
        <v>25</v>
      </c>
      <c r="E30" s="29">
        <v>1255</v>
      </c>
      <c r="F30" s="30">
        <v>60.677367500000003</v>
      </c>
      <c r="G30" s="31">
        <v>2.0026059999999998E-2</v>
      </c>
      <c r="H30" s="24" t="s">
        <v>146</v>
      </c>
    </row>
    <row r="31" spans="1:8" x14ac:dyDescent="0.2">
      <c r="A31" s="27">
        <v>25</v>
      </c>
      <c r="B31" s="28" t="s">
        <v>413</v>
      </c>
      <c r="C31" s="28" t="s">
        <v>414</v>
      </c>
      <c r="D31" s="28" t="s">
        <v>223</v>
      </c>
      <c r="E31" s="29">
        <v>8090</v>
      </c>
      <c r="F31" s="30">
        <v>58.721265000000002</v>
      </c>
      <c r="G31" s="31">
        <v>1.9380459999999999E-2</v>
      </c>
      <c r="H31" s="24" t="s">
        <v>146</v>
      </c>
    </row>
    <row r="32" spans="1:8" x14ac:dyDescent="0.2">
      <c r="A32" s="27">
        <v>26</v>
      </c>
      <c r="B32" s="28" t="s">
        <v>102</v>
      </c>
      <c r="C32" s="28" t="s">
        <v>103</v>
      </c>
      <c r="D32" s="28" t="s">
        <v>42</v>
      </c>
      <c r="E32" s="29">
        <v>3026</v>
      </c>
      <c r="F32" s="30">
        <v>58.324637000000003</v>
      </c>
      <c r="G32" s="31">
        <v>1.9249559999999999E-2</v>
      </c>
      <c r="H32" s="24" t="s">
        <v>146</v>
      </c>
    </row>
    <row r="33" spans="1:8" x14ac:dyDescent="0.2">
      <c r="A33" s="27">
        <v>27</v>
      </c>
      <c r="B33" s="28" t="s">
        <v>244</v>
      </c>
      <c r="C33" s="28" t="s">
        <v>245</v>
      </c>
      <c r="D33" s="28" t="s">
        <v>120</v>
      </c>
      <c r="E33" s="29">
        <v>601</v>
      </c>
      <c r="F33" s="30">
        <v>56.269526499999998</v>
      </c>
      <c r="G33" s="31">
        <v>1.8571290000000001E-2</v>
      </c>
      <c r="H33" s="24" t="s">
        <v>146</v>
      </c>
    </row>
    <row r="34" spans="1:8" x14ac:dyDescent="0.2">
      <c r="A34" s="27">
        <v>28</v>
      </c>
      <c r="B34" s="28" t="s">
        <v>411</v>
      </c>
      <c r="C34" s="28" t="s">
        <v>412</v>
      </c>
      <c r="D34" s="28" t="s">
        <v>42</v>
      </c>
      <c r="E34" s="29">
        <v>11627</v>
      </c>
      <c r="F34" s="30">
        <v>54.937575000000002</v>
      </c>
      <c r="G34" s="31">
        <v>1.8131689999999999E-2</v>
      </c>
      <c r="H34" s="24" t="s">
        <v>146</v>
      </c>
    </row>
    <row r="35" spans="1:8" x14ac:dyDescent="0.2">
      <c r="A35" s="27">
        <v>29</v>
      </c>
      <c r="B35" s="28" t="s">
        <v>317</v>
      </c>
      <c r="C35" s="28" t="s">
        <v>318</v>
      </c>
      <c r="D35" s="28" t="s">
        <v>120</v>
      </c>
      <c r="E35" s="29">
        <v>3287</v>
      </c>
      <c r="F35" s="30">
        <v>49.922955999999999</v>
      </c>
      <c r="G35" s="31">
        <v>1.6476649999999999E-2</v>
      </c>
      <c r="H35" s="24" t="s">
        <v>146</v>
      </c>
    </row>
    <row r="36" spans="1:8" x14ac:dyDescent="0.2">
      <c r="A36" s="27">
        <v>30</v>
      </c>
      <c r="B36" s="28" t="s">
        <v>417</v>
      </c>
      <c r="C36" s="28" t="s">
        <v>418</v>
      </c>
      <c r="D36" s="28" t="s">
        <v>354</v>
      </c>
      <c r="E36" s="29">
        <v>10471</v>
      </c>
      <c r="F36" s="30">
        <v>44.4546305</v>
      </c>
      <c r="G36" s="31">
        <v>1.467188E-2</v>
      </c>
      <c r="H36" s="24" t="s">
        <v>146</v>
      </c>
    </row>
    <row r="37" spans="1:8" x14ac:dyDescent="0.2">
      <c r="A37" s="27">
        <v>31</v>
      </c>
      <c r="B37" s="28" t="s">
        <v>457</v>
      </c>
      <c r="C37" s="28" t="s">
        <v>458</v>
      </c>
      <c r="D37" s="28" t="s">
        <v>42</v>
      </c>
      <c r="E37" s="29">
        <v>8418</v>
      </c>
      <c r="F37" s="30">
        <v>43.601030999999999</v>
      </c>
      <c r="G37" s="31">
        <v>1.4390150000000001E-2</v>
      </c>
      <c r="H37" s="24" t="s">
        <v>146</v>
      </c>
    </row>
    <row r="38" spans="1:8" x14ac:dyDescent="0.2">
      <c r="A38" s="27">
        <v>32</v>
      </c>
      <c r="B38" s="28" t="s">
        <v>405</v>
      </c>
      <c r="C38" s="28" t="s">
        <v>406</v>
      </c>
      <c r="D38" s="28" t="s">
        <v>39</v>
      </c>
      <c r="E38" s="29">
        <v>4812</v>
      </c>
      <c r="F38" s="30">
        <v>38.719757999999999</v>
      </c>
      <c r="G38" s="31">
        <v>1.277913E-2</v>
      </c>
      <c r="H38" s="24" t="s">
        <v>146</v>
      </c>
    </row>
    <row r="39" spans="1:8" x14ac:dyDescent="0.2">
      <c r="A39" s="27">
        <v>33</v>
      </c>
      <c r="B39" s="28" t="s">
        <v>423</v>
      </c>
      <c r="C39" s="28" t="s">
        <v>424</v>
      </c>
      <c r="D39" s="28" t="s">
        <v>39</v>
      </c>
      <c r="E39" s="29">
        <v>4636</v>
      </c>
      <c r="F39" s="30">
        <v>28.752472000000001</v>
      </c>
      <c r="G39" s="31">
        <v>9.4895099999999996E-3</v>
      </c>
      <c r="H39" s="24" t="s">
        <v>146</v>
      </c>
    </row>
    <row r="40" spans="1:8" x14ac:dyDescent="0.2">
      <c r="A40" s="27">
        <v>34</v>
      </c>
      <c r="B40" s="28" t="s">
        <v>425</v>
      </c>
      <c r="C40" s="28" t="s">
        <v>426</v>
      </c>
      <c r="D40" s="28" t="s">
        <v>139</v>
      </c>
      <c r="E40" s="29">
        <v>19513</v>
      </c>
      <c r="F40" s="30">
        <v>26.2684006</v>
      </c>
      <c r="G40" s="31">
        <v>8.6696700000000008E-3</v>
      </c>
      <c r="H40" s="24" t="s">
        <v>146</v>
      </c>
    </row>
    <row r="41" spans="1:8" x14ac:dyDescent="0.2">
      <c r="A41" s="27">
        <v>35</v>
      </c>
      <c r="B41" s="28" t="s">
        <v>397</v>
      </c>
      <c r="C41" s="28" t="s">
        <v>398</v>
      </c>
      <c r="D41" s="28" t="s">
        <v>42</v>
      </c>
      <c r="E41" s="29">
        <v>2350</v>
      </c>
      <c r="F41" s="30">
        <v>23.427150000000001</v>
      </c>
      <c r="G41" s="31">
        <v>7.7319299999999997E-3</v>
      </c>
      <c r="H41" s="24" t="s">
        <v>146</v>
      </c>
    </row>
    <row r="42" spans="1:8" x14ac:dyDescent="0.2">
      <c r="A42" s="27">
        <v>36</v>
      </c>
      <c r="B42" s="28" t="s">
        <v>429</v>
      </c>
      <c r="C42" s="28" t="s">
        <v>430</v>
      </c>
      <c r="D42" s="28" t="s">
        <v>83</v>
      </c>
      <c r="E42" s="29">
        <v>4242</v>
      </c>
      <c r="F42" s="30">
        <v>18.41028</v>
      </c>
      <c r="G42" s="31">
        <v>6.0761599999999997E-3</v>
      </c>
      <c r="H42" s="24" t="s">
        <v>146</v>
      </c>
    </row>
    <row r="43" spans="1:8" x14ac:dyDescent="0.2">
      <c r="A43" s="25"/>
      <c r="B43" s="25"/>
      <c r="C43" s="26" t="s">
        <v>145</v>
      </c>
      <c r="D43" s="25"/>
      <c r="E43" s="25" t="s">
        <v>146</v>
      </c>
      <c r="F43" s="32">
        <v>2915.6929528000001</v>
      </c>
      <c r="G43" s="33">
        <v>0.96230002000000003</v>
      </c>
      <c r="H43" s="24" t="s">
        <v>146</v>
      </c>
    </row>
    <row r="44" spans="1:8" x14ac:dyDescent="0.2">
      <c r="A44" s="25"/>
      <c r="B44" s="25"/>
      <c r="C44" s="34"/>
      <c r="D44" s="25"/>
      <c r="E44" s="25"/>
      <c r="F44" s="35"/>
      <c r="G44" s="35"/>
      <c r="H44" s="24" t="s">
        <v>146</v>
      </c>
    </row>
    <row r="45" spans="1:8" x14ac:dyDescent="0.2">
      <c r="A45" s="25"/>
      <c r="B45" s="25"/>
      <c r="C45" s="26" t="s">
        <v>147</v>
      </c>
      <c r="D45" s="25"/>
      <c r="E45" s="25"/>
      <c r="F45" s="25"/>
      <c r="G45" s="25"/>
      <c r="H45" s="24" t="s">
        <v>146</v>
      </c>
    </row>
    <row r="46" spans="1:8" x14ac:dyDescent="0.2">
      <c r="A46" s="25"/>
      <c r="B46" s="25"/>
      <c r="C46" s="26" t="s">
        <v>145</v>
      </c>
      <c r="D46" s="25"/>
      <c r="E46" s="25" t="s">
        <v>146</v>
      </c>
      <c r="F46" s="36" t="s">
        <v>148</v>
      </c>
      <c r="G46" s="33">
        <v>0</v>
      </c>
      <c r="H46" s="24" t="s">
        <v>146</v>
      </c>
    </row>
    <row r="47" spans="1:8" x14ac:dyDescent="0.2">
      <c r="A47" s="25"/>
      <c r="B47" s="25"/>
      <c r="C47" s="34"/>
      <c r="D47" s="25"/>
      <c r="E47" s="25"/>
      <c r="F47" s="35"/>
      <c r="G47" s="35"/>
      <c r="H47" s="24" t="s">
        <v>146</v>
      </c>
    </row>
    <row r="48" spans="1:8" x14ac:dyDescent="0.2">
      <c r="A48" s="25"/>
      <c r="B48" s="25"/>
      <c r="C48" s="26" t="s">
        <v>149</v>
      </c>
      <c r="D48" s="25"/>
      <c r="E48" s="25"/>
      <c r="F48" s="25"/>
      <c r="G48" s="25"/>
      <c r="H48" s="24" t="s">
        <v>146</v>
      </c>
    </row>
    <row r="49" spans="1:8" x14ac:dyDescent="0.2">
      <c r="A49" s="25"/>
      <c r="B49" s="25"/>
      <c r="C49" s="26" t="s">
        <v>145</v>
      </c>
      <c r="D49" s="25"/>
      <c r="E49" s="25" t="s">
        <v>146</v>
      </c>
      <c r="F49" s="36" t="s">
        <v>148</v>
      </c>
      <c r="G49" s="33">
        <v>0</v>
      </c>
      <c r="H49" s="24" t="s">
        <v>146</v>
      </c>
    </row>
    <row r="50" spans="1:8" x14ac:dyDescent="0.2">
      <c r="A50" s="25"/>
      <c r="B50" s="25"/>
      <c r="C50" s="34"/>
      <c r="D50" s="25"/>
      <c r="E50" s="25"/>
      <c r="F50" s="35"/>
      <c r="G50" s="35"/>
      <c r="H50" s="24" t="s">
        <v>146</v>
      </c>
    </row>
    <row r="51" spans="1:8" x14ac:dyDescent="0.2">
      <c r="A51" s="25"/>
      <c r="B51" s="25"/>
      <c r="C51" s="26" t="s">
        <v>150</v>
      </c>
      <c r="D51" s="25"/>
      <c r="E51" s="25"/>
      <c r="F51" s="25"/>
      <c r="G51" s="25"/>
      <c r="H51" s="24" t="s">
        <v>146</v>
      </c>
    </row>
    <row r="52" spans="1:8" x14ac:dyDescent="0.2">
      <c r="A52" s="25"/>
      <c r="B52" s="25"/>
      <c r="C52" s="26" t="s">
        <v>145</v>
      </c>
      <c r="D52" s="25"/>
      <c r="E52" s="25" t="s">
        <v>146</v>
      </c>
      <c r="F52" s="36" t="s">
        <v>148</v>
      </c>
      <c r="G52" s="33">
        <v>0</v>
      </c>
      <c r="H52" s="24" t="s">
        <v>146</v>
      </c>
    </row>
    <row r="53" spans="1:8" x14ac:dyDescent="0.2">
      <c r="A53" s="25"/>
      <c r="B53" s="25"/>
      <c r="C53" s="34"/>
      <c r="D53" s="25"/>
      <c r="E53" s="25"/>
      <c r="F53" s="35"/>
      <c r="G53" s="35"/>
      <c r="H53" s="24" t="s">
        <v>146</v>
      </c>
    </row>
    <row r="54" spans="1:8" x14ac:dyDescent="0.2">
      <c r="A54" s="25"/>
      <c r="B54" s="25"/>
      <c r="C54" s="26" t="s">
        <v>151</v>
      </c>
      <c r="D54" s="25"/>
      <c r="E54" s="25"/>
      <c r="F54" s="35"/>
      <c r="G54" s="35"/>
      <c r="H54" s="24" t="s">
        <v>146</v>
      </c>
    </row>
    <row r="55" spans="1:8" x14ac:dyDescent="0.2">
      <c r="A55" s="25"/>
      <c r="B55" s="25"/>
      <c r="C55" s="26" t="s">
        <v>145</v>
      </c>
      <c r="D55" s="25"/>
      <c r="E55" s="25" t="s">
        <v>146</v>
      </c>
      <c r="F55" s="36" t="s">
        <v>148</v>
      </c>
      <c r="G55" s="33">
        <v>0</v>
      </c>
      <c r="H55" s="24" t="s">
        <v>146</v>
      </c>
    </row>
    <row r="56" spans="1:8" x14ac:dyDescent="0.2">
      <c r="A56" s="25"/>
      <c r="B56" s="25"/>
      <c r="C56" s="34"/>
      <c r="D56" s="25"/>
      <c r="E56" s="25"/>
      <c r="F56" s="35"/>
      <c r="G56" s="35"/>
      <c r="H56" s="24" t="s">
        <v>146</v>
      </c>
    </row>
    <row r="57" spans="1:8" x14ac:dyDescent="0.2">
      <c r="A57" s="25"/>
      <c r="B57" s="25"/>
      <c r="C57" s="26" t="s">
        <v>152</v>
      </c>
      <c r="D57" s="25"/>
      <c r="E57" s="25"/>
      <c r="F57" s="35"/>
      <c r="G57" s="35"/>
      <c r="H57" s="24" t="s">
        <v>146</v>
      </c>
    </row>
    <row r="58" spans="1:8" x14ac:dyDescent="0.2">
      <c r="A58" s="25"/>
      <c r="B58" s="25"/>
      <c r="C58" s="26" t="s">
        <v>145</v>
      </c>
      <c r="D58" s="25"/>
      <c r="E58" s="25" t="s">
        <v>146</v>
      </c>
      <c r="F58" s="36" t="s">
        <v>148</v>
      </c>
      <c r="G58" s="33">
        <v>0</v>
      </c>
      <c r="H58" s="24" t="s">
        <v>146</v>
      </c>
    </row>
    <row r="59" spans="1:8" x14ac:dyDescent="0.2">
      <c r="A59" s="25"/>
      <c r="B59" s="25"/>
      <c r="C59" s="34"/>
      <c r="D59" s="25"/>
      <c r="E59" s="25"/>
      <c r="F59" s="35"/>
      <c r="G59" s="35"/>
      <c r="H59" s="24" t="s">
        <v>146</v>
      </c>
    </row>
    <row r="60" spans="1:8" x14ac:dyDescent="0.2">
      <c r="A60" s="25"/>
      <c r="B60" s="25"/>
      <c r="C60" s="26" t="s">
        <v>153</v>
      </c>
      <c r="D60" s="25"/>
      <c r="E60" s="25"/>
      <c r="F60" s="32">
        <v>2915.6929528000001</v>
      </c>
      <c r="G60" s="33">
        <v>0.96230002000000003</v>
      </c>
      <c r="H60" s="24" t="s">
        <v>146</v>
      </c>
    </row>
    <row r="61" spans="1:8" x14ac:dyDescent="0.2">
      <c r="A61" s="25"/>
      <c r="B61" s="25"/>
      <c r="C61" s="34"/>
      <c r="D61" s="25"/>
      <c r="E61" s="25"/>
      <c r="F61" s="35"/>
      <c r="G61" s="35"/>
      <c r="H61" s="24" t="s">
        <v>146</v>
      </c>
    </row>
    <row r="62" spans="1:8" x14ac:dyDescent="0.2">
      <c r="A62" s="25"/>
      <c r="B62" s="25"/>
      <c r="C62" s="26" t="s">
        <v>154</v>
      </c>
      <c r="D62" s="25"/>
      <c r="E62" s="25"/>
      <c r="F62" s="35"/>
      <c r="G62" s="35"/>
      <c r="H62" s="24" t="s">
        <v>146</v>
      </c>
    </row>
    <row r="63" spans="1:8" x14ac:dyDescent="0.2">
      <c r="A63" s="25"/>
      <c r="B63" s="25"/>
      <c r="C63" s="26" t="s">
        <v>10</v>
      </c>
      <c r="D63" s="25"/>
      <c r="E63" s="25"/>
      <c r="F63" s="35"/>
      <c r="G63" s="35"/>
      <c r="H63" s="24" t="s">
        <v>146</v>
      </c>
    </row>
    <row r="64" spans="1:8" x14ac:dyDescent="0.2">
      <c r="A64" s="25"/>
      <c r="B64" s="25"/>
      <c r="C64" s="26" t="s">
        <v>145</v>
      </c>
      <c r="D64" s="25"/>
      <c r="E64" s="25" t="s">
        <v>146</v>
      </c>
      <c r="F64" s="36" t="s">
        <v>148</v>
      </c>
      <c r="G64" s="33">
        <v>0</v>
      </c>
      <c r="H64" s="24" t="s">
        <v>146</v>
      </c>
    </row>
    <row r="65" spans="1:8" x14ac:dyDescent="0.2">
      <c r="A65" s="25"/>
      <c r="B65" s="25"/>
      <c r="C65" s="34"/>
      <c r="D65" s="25"/>
      <c r="E65" s="25"/>
      <c r="F65" s="35"/>
      <c r="G65" s="35"/>
      <c r="H65" s="24" t="s">
        <v>146</v>
      </c>
    </row>
    <row r="66" spans="1:8" x14ac:dyDescent="0.2">
      <c r="A66" s="25"/>
      <c r="B66" s="25"/>
      <c r="C66" s="26" t="s">
        <v>155</v>
      </c>
      <c r="D66" s="25"/>
      <c r="E66" s="25"/>
      <c r="F66" s="25"/>
      <c r="G66" s="25"/>
      <c r="H66" s="24" t="s">
        <v>146</v>
      </c>
    </row>
    <row r="67" spans="1:8" x14ac:dyDescent="0.2">
      <c r="A67" s="25"/>
      <c r="B67" s="25"/>
      <c r="C67" s="26" t="s">
        <v>145</v>
      </c>
      <c r="D67" s="25"/>
      <c r="E67" s="25" t="s">
        <v>146</v>
      </c>
      <c r="F67" s="36" t="s">
        <v>148</v>
      </c>
      <c r="G67" s="33">
        <v>0</v>
      </c>
      <c r="H67" s="24" t="s">
        <v>146</v>
      </c>
    </row>
    <row r="68" spans="1:8" x14ac:dyDescent="0.2">
      <c r="A68" s="25"/>
      <c r="B68" s="25"/>
      <c r="C68" s="34"/>
      <c r="D68" s="25"/>
      <c r="E68" s="25"/>
      <c r="F68" s="35"/>
      <c r="G68" s="35"/>
      <c r="H68" s="24" t="s">
        <v>146</v>
      </c>
    </row>
    <row r="69" spans="1:8" x14ac:dyDescent="0.2">
      <c r="A69" s="25"/>
      <c r="B69" s="25"/>
      <c r="C69" s="26" t="s">
        <v>156</v>
      </c>
      <c r="D69" s="25"/>
      <c r="E69" s="25"/>
      <c r="F69" s="25"/>
      <c r="G69" s="25"/>
      <c r="H69" s="24" t="s">
        <v>146</v>
      </c>
    </row>
    <row r="70" spans="1:8" x14ac:dyDescent="0.2">
      <c r="A70" s="25"/>
      <c r="B70" s="25"/>
      <c r="C70" s="26" t="s">
        <v>145</v>
      </c>
      <c r="D70" s="25"/>
      <c r="E70" s="25" t="s">
        <v>146</v>
      </c>
      <c r="F70" s="36" t="s">
        <v>148</v>
      </c>
      <c r="G70" s="33">
        <v>0</v>
      </c>
      <c r="H70" s="24" t="s">
        <v>146</v>
      </c>
    </row>
    <row r="71" spans="1:8" x14ac:dyDescent="0.2">
      <c r="A71" s="25"/>
      <c r="B71" s="25"/>
      <c r="C71" s="34"/>
      <c r="D71" s="25"/>
      <c r="E71" s="25"/>
      <c r="F71" s="35"/>
      <c r="G71" s="35"/>
      <c r="H71" s="24" t="s">
        <v>146</v>
      </c>
    </row>
    <row r="72" spans="1:8" x14ac:dyDescent="0.2">
      <c r="A72" s="25"/>
      <c r="B72" s="25"/>
      <c r="C72" s="26" t="s">
        <v>157</v>
      </c>
      <c r="D72" s="25"/>
      <c r="E72" s="25"/>
      <c r="F72" s="35"/>
      <c r="G72" s="35"/>
      <c r="H72" s="24" t="s">
        <v>146</v>
      </c>
    </row>
    <row r="73" spans="1:8" x14ac:dyDescent="0.2">
      <c r="A73" s="25"/>
      <c r="B73" s="25"/>
      <c r="C73" s="26" t="s">
        <v>145</v>
      </c>
      <c r="D73" s="25"/>
      <c r="E73" s="25" t="s">
        <v>146</v>
      </c>
      <c r="F73" s="36" t="s">
        <v>148</v>
      </c>
      <c r="G73" s="33">
        <v>0</v>
      </c>
      <c r="H73" s="24" t="s">
        <v>146</v>
      </c>
    </row>
    <row r="74" spans="1:8" x14ac:dyDescent="0.2">
      <c r="A74" s="25"/>
      <c r="B74" s="25"/>
      <c r="C74" s="34"/>
      <c r="D74" s="25"/>
      <c r="E74" s="25"/>
      <c r="F74" s="35"/>
      <c r="G74" s="35"/>
      <c r="H74" s="24" t="s">
        <v>146</v>
      </c>
    </row>
    <row r="75" spans="1:8" x14ac:dyDescent="0.2">
      <c r="A75" s="25"/>
      <c r="B75" s="25"/>
      <c r="C75" s="26" t="s">
        <v>158</v>
      </c>
      <c r="D75" s="25"/>
      <c r="E75" s="25"/>
      <c r="F75" s="32">
        <v>0</v>
      </c>
      <c r="G75" s="33">
        <v>0</v>
      </c>
      <c r="H75" s="24" t="s">
        <v>146</v>
      </c>
    </row>
    <row r="76" spans="1:8" x14ac:dyDescent="0.2">
      <c r="A76" s="25"/>
      <c r="B76" s="25"/>
      <c r="C76" s="34"/>
      <c r="D76" s="25"/>
      <c r="E76" s="25"/>
      <c r="F76" s="35"/>
      <c r="G76" s="35"/>
      <c r="H76" s="24" t="s">
        <v>146</v>
      </c>
    </row>
    <row r="77" spans="1:8" x14ac:dyDescent="0.2">
      <c r="A77" s="25"/>
      <c r="B77" s="25"/>
      <c r="C77" s="26" t="s">
        <v>159</v>
      </c>
      <c r="D77" s="25"/>
      <c r="E77" s="25"/>
      <c r="F77" s="35"/>
      <c r="G77" s="35"/>
      <c r="H77" s="24" t="s">
        <v>146</v>
      </c>
    </row>
    <row r="78" spans="1:8" x14ac:dyDescent="0.2">
      <c r="A78" s="25"/>
      <c r="B78" s="25"/>
      <c r="C78" s="26" t="s">
        <v>160</v>
      </c>
      <c r="D78" s="25"/>
      <c r="E78" s="25"/>
      <c r="F78" s="35"/>
      <c r="G78" s="35"/>
      <c r="H78" s="24" t="s">
        <v>146</v>
      </c>
    </row>
    <row r="79" spans="1:8" x14ac:dyDescent="0.2">
      <c r="A79" s="25"/>
      <c r="B79" s="25"/>
      <c r="C79" s="26" t="s">
        <v>145</v>
      </c>
      <c r="D79" s="25"/>
      <c r="E79" s="25" t="s">
        <v>146</v>
      </c>
      <c r="F79" s="36" t="s">
        <v>148</v>
      </c>
      <c r="G79" s="33">
        <v>0</v>
      </c>
      <c r="H79" s="24" t="s">
        <v>146</v>
      </c>
    </row>
    <row r="80" spans="1:8" x14ac:dyDescent="0.2">
      <c r="A80" s="25"/>
      <c r="B80" s="25"/>
      <c r="C80" s="34"/>
      <c r="D80" s="25"/>
      <c r="E80" s="25"/>
      <c r="F80" s="35"/>
      <c r="G80" s="35"/>
      <c r="H80" s="24" t="s">
        <v>146</v>
      </c>
    </row>
    <row r="81" spans="1:8" x14ac:dyDescent="0.2">
      <c r="A81" s="25"/>
      <c r="B81" s="25"/>
      <c r="C81" s="26" t="s">
        <v>161</v>
      </c>
      <c r="D81" s="25"/>
      <c r="E81" s="25"/>
      <c r="F81" s="35"/>
      <c r="G81" s="35"/>
      <c r="H81" s="24" t="s">
        <v>146</v>
      </c>
    </row>
    <row r="82" spans="1:8" x14ac:dyDescent="0.2">
      <c r="A82" s="25"/>
      <c r="B82" s="25"/>
      <c r="C82" s="26" t="s">
        <v>145</v>
      </c>
      <c r="D82" s="25"/>
      <c r="E82" s="25" t="s">
        <v>146</v>
      </c>
      <c r="F82" s="36" t="s">
        <v>148</v>
      </c>
      <c r="G82" s="33">
        <v>0</v>
      </c>
      <c r="H82" s="24" t="s">
        <v>146</v>
      </c>
    </row>
    <row r="83" spans="1:8" x14ac:dyDescent="0.2">
      <c r="A83" s="25"/>
      <c r="B83" s="25"/>
      <c r="C83" s="34"/>
      <c r="D83" s="25"/>
      <c r="E83" s="25"/>
      <c r="F83" s="35"/>
      <c r="G83" s="35"/>
      <c r="H83" s="24" t="s">
        <v>146</v>
      </c>
    </row>
    <row r="84" spans="1:8" x14ac:dyDescent="0.2">
      <c r="A84" s="25"/>
      <c r="B84" s="25"/>
      <c r="C84" s="26" t="s">
        <v>162</v>
      </c>
      <c r="D84" s="25"/>
      <c r="E84" s="25"/>
      <c r="F84" s="35"/>
      <c r="G84" s="35"/>
      <c r="H84" s="24" t="s">
        <v>146</v>
      </c>
    </row>
    <row r="85" spans="1:8" x14ac:dyDescent="0.2">
      <c r="A85" s="25"/>
      <c r="B85" s="25"/>
      <c r="C85" s="26" t="s">
        <v>145</v>
      </c>
      <c r="D85" s="25"/>
      <c r="E85" s="25" t="s">
        <v>146</v>
      </c>
      <c r="F85" s="36" t="s">
        <v>148</v>
      </c>
      <c r="G85" s="33">
        <v>0</v>
      </c>
      <c r="H85" s="24" t="s">
        <v>146</v>
      </c>
    </row>
    <row r="86" spans="1:8" x14ac:dyDescent="0.2">
      <c r="A86" s="25"/>
      <c r="B86" s="25"/>
      <c r="C86" s="34"/>
      <c r="D86" s="25"/>
      <c r="E86" s="25"/>
      <c r="F86" s="35"/>
      <c r="G86" s="35"/>
      <c r="H86" s="24" t="s">
        <v>146</v>
      </c>
    </row>
    <row r="87" spans="1:8" x14ac:dyDescent="0.2">
      <c r="A87" s="25"/>
      <c r="B87" s="25"/>
      <c r="C87" s="26" t="s">
        <v>163</v>
      </c>
      <c r="D87" s="25"/>
      <c r="E87" s="25"/>
      <c r="F87" s="35"/>
      <c r="G87" s="35"/>
      <c r="H87" s="24" t="s">
        <v>146</v>
      </c>
    </row>
    <row r="88" spans="1:8" x14ac:dyDescent="0.2">
      <c r="A88" s="27">
        <v>1</v>
      </c>
      <c r="B88" s="28"/>
      <c r="C88" s="28" t="s">
        <v>164</v>
      </c>
      <c r="D88" s="28"/>
      <c r="E88" s="38"/>
      <c r="F88" s="30">
        <v>115.53279999999999</v>
      </c>
      <c r="G88" s="31">
        <v>3.8130629999999999E-2</v>
      </c>
      <c r="H88" s="24">
        <v>6.57</v>
      </c>
    </row>
    <row r="89" spans="1:8" x14ac:dyDescent="0.2">
      <c r="A89" s="25"/>
      <c r="B89" s="25"/>
      <c r="C89" s="26" t="s">
        <v>145</v>
      </c>
      <c r="D89" s="25"/>
      <c r="E89" s="25" t="s">
        <v>146</v>
      </c>
      <c r="F89" s="32">
        <v>115.53279999999999</v>
      </c>
      <c r="G89" s="33">
        <v>3.8130629999999999E-2</v>
      </c>
      <c r="H89" s="24" t="s">
        <v>146</v>
      </c>
    </row>
    <row r="90" spans="1:8" x14ac:dyDescent="0.2">
      <c r="A90" s="25"/>
      <c r="B90" s="25"/>
      <c r="C90" s="34"/>
      <c r="D90" s="25"/>
      <c r="E90" s="25"/>
      <c r="F90" s="35"/>
      <c r="G90" s="35"/>
      <c r="H90" s="24" t="s">
        <v>146</v>
      </c>
    </row>
    <row r="91" spans="1:8" x14ac:dyDescent="0.2">
      <c r="A91" s="25"/>
      <c r="B91" s="25"/>
      <c r="C91" s="26" t="s">
        <v>165</v>
      </c>
      <c r="D91" s="25"/>
      <c r="E91" s="25"/>
      <c r="F91" s="32">
        <v>115.53279999999999</v>
      </c>
      <c r="G91" s="33">
        <v>3.8130629999999999E-2</v>
      </c>
      <c r="H91" s="24" t="s">
        <v>146</v>
      </c>
    </row>
    <row r="92" spans="1:8" x14ac:dyDescent="0.2">
      <c r="A92" s="25"/>
      <c r="B92" s="25"/>
      <c r="C92" s="35"/>
      <c r="D92" s="25"/>
      <c r="E92" s="25"/>
      <c r="F92" s="25"/>
      <c r="G92" s="25"/>
      <c r="H92" s="24" t="s">
        <v>146</v>
      </c>
    </row>
    <row r="93" spans="1:8" x14ac:dyDescent="0.2">
      <c r="A93" s="25"/>
      <c r="B93" s="25"/>
      <c r="C93" s="26" t="s">
        <v>166</v>
      </c>
      <c r="D93" s="25"/>
      <c r="E93" s="25"/>
      <c r="F93" s="25"/>
      <c r="G93" s="25"/>
      <c r="H93" s="24" t="s">
        <v>146</v>
      </c>
    </row>
    <row r="94" spans="1:8" x14ac:dyDescent="0.2">
      <c r="A94" s="25"/>
      <c r="B94" s="25"/>
      <c r="C94" s="26" t="s">
        <v>167</v>
      </c>
      <c r="D94" s="25"/>
      <c r="E94" s="25"/>
      <c r="F94" s="25"/>
      <c r="G94" s="25"/>
      <c r="H94" s="24" t="s">
        <v>146</v>
      </c>
    </row>
    <row r="95" spans="1:8" x14ac:dyDescent="0.2">
      <c r="A95" s="25"/>
      <c r="B95" s="25"/>
      <c r="C95" s="26" t="s">
        <v>145</v>
      </c>
      <c r="D95" s="25"/>
      <c r="E95" s="25" t="s">
        <v>146</v>
      </c>
      <c r="F95" s="36" t="s">
        <v>148</v>
      </c>
      <c r="G95" s="33">
        <v>0</v>
      </c>
      <c r="H95" s="24" t="s">
        <v>146</v>
      </c>
    </row>
    <row r="96" spans="1:8" x14ac:dyDescent="0.2">
      <c r="A96" s="25"/>
      <c r="B96" s="25"/>
      <c r="C96" s="34"/>
      <c r="D96" s="25"/>
      <c r="E96" s="25"/>
      <c r="F96" s="35"/>
      <c r="G96" s="35"/>
      <c r="H96" s="24" t="s">
        <v>146</v>
      </c>
    </row>
    <row r="97" spans="1:17" x14ac:dyDescent="0.2">
      <c r="A97" s="25"/>
      <c r="B97" s="25"/>
      <c r="C97" s="26" t="s">
        <v>168</v>
      </c>
      <c r="D97" s="25"/>
      <c r="E97" s="25"/>
      <c r="F97" s="25"/>
      <c r="G97" s="25"/>
      <c r="H97" s="24" t="s">
        <v>146</v>
      </c>
    </row>
    <row r="98" spans="1:17" x14ac:dyDescent="0.2">
      <c r="A98" s="25"/>
      <c r="B98" s="25"/>
      <c r="C98" s="26" t="s">
        <v>169</v>
      </c>
      <c r="D98" s="25"/>
      <c r="E98" s="25"/>
      <c r="F98" s="25"/>
      <c r="G98" s="25"/>
      <c r="H98" s="24" t="s">
        <v>146</v>
      </c>
    </row>
    <row r="99" spans="1:17" x14ac:dyDescent="0.2">
      <c r="A99" s="25"/>
      <c r="B99" s="25"/>
      <c r="C99" s="26" t="s">
        <v>145</v>
      </c>
      <c r="D99" s="25"/>
      <c r="E99" s="25" t="s">
        <v>146</v>
      </c>
      <c r="F99" s="36" t="s">
        <v>148</v>
      </c>
      <c r="G99" s="33">
        <v>0</v>
      </c>
      <c r="H99" s="24" t="s">
        <v>146</v>
      </c>
    </row>
    <row r="100" spans="1:17" x14ac:dyDescent="0.2">
      <c r="A100" s="25"/>
      <c r="B100" s="25"/>
      <c r="C100" s="34"/>
      <c r="D100" s="25"/>
      <c r="E100" s="25"/>
      <c r="F100" s="35"/>
      <c r="G100" s="35"/>
      <c r="H100" s="24" t="s">
        <v>146</v>
      </c>
    </row>
    <row r="101" spans="1:17" x14ac:dyDescent="0.2">
      <c r="A101" s="25"/>
      <c r="B101" s="25"/>
      <c r="C101" s="26" t="s">
        <v>170</v>
      </c>
      <c r="D101" s="25"/>
      <c r="E101" s="25"/>
      <c r="F101" s="35"/>
      <c r="G101" s="35"/>
      <c r="H101" s="24" t="s">
        <v>146</v>
      </c>
    </row>
    <row r="102" spans="1:17" x14ac:dyDescent="0.2">
      <c r="A102" s="25"/>
      <c r="B102" s="25"/>
      <c r="C102" s="26" t="s">
        <v>145</v>
      </c>
      <c r="D102" s="25"/>
      <c r="E102" s="25" t="s">
        <v>146</v>
      </c>
      <c r="F102" s="36" t="s">
        <v>148</v>
      </c>
      <c r="G102" s="33">
        <v>0</v>
      </c>
      <c r="H102" s="24" t="s">
        <v>146</v>
      </c>
    </row>
    <row r="103" spans="1:17" x14ac:dyDescent="0.2">
      <c r="A103" s="25"/>
      <c r="B103" s="25"/>
      <c r="C103" s="34"/>
      <c r="D103" s="25"/>
      <c r="E103" s="25"/>
      <c r="F103" s="35"/>
      <c r="G103" s="35"/>
      <c r="H103" s="24" t="s">
        <v>146</v>
      </c>
    </row>
    <row r="104" spans="1:17" x14ac:dyDescent="0.2">
      <c r="A104" s="25"/>
      <c r="B104" s="28"/>
      <c r="C104" s="28"/>
      <c r="D104" s="26"/>
      <c r="E104" s="25"/>
      <c r="F104" s="28"/>
      <c r="G104" s="38"/>
      <c r="H104" s="24" t="s">
        <v>146</v>
      </c>
    </row>
    <row r="105" spans="1:17" x14ac:dyDescent="0.2">
      <c r="A105" s="38"/>
      <c r="B105" s="28"/>
      <c r="C105" s="28" t="s">
        <v>171</v>
      </c>
      <c r="D105" s="28"/>
      <c r="E105" s="38"/>
      <c r="F105" s="30">
        <v>-1.30477395</v>
      </c>
      <c r="G105" s="31">
        <v>-4.3062999999999999E-4</v>
      </c>
      <c r="H105" s="24" t="s">
        <v>146</v>
      </c>
    </row>
    <row r="106" spans="1:17" x14ac:dyDescent="0.2">
      <c r="A106" s="34"/>
      <c r="B106" s="34"/>
      <c r="C106" s="26" t="s">
        <v>172</v>
      </c>
      <c r="D106" s="35"/>
      <c r="E106" s="35"/>
      <c r="F106" s="32">
        <v>3029.9209788500002</v>
      </c>
      <c r="G106" s="39">
        <v>1.0000000200000001</v>
      </c>
      <c r="H106" s="24" t="s">
        <v>146</v>
      </c>
    </row>
    <row r="107" spans="1:17" x14ac:dyDescent="0.2">
      <c r="A107" s="40"/>
      <c r="B107" s="40"/>
      <c r="C107" s="40"/>
      <c r="D107" s="41"/>
      <c r="E107" s="41"/>
      <c r="F107" s="41"/>
      <c r="G107" s="41"/>
    </row>
    <row r="108" spans="1:17" x14ac:dyDescent="0.2">
      <c r="A108" s="42"/>
      <c r="B108" s="236" t="s">
        <v>858</v>
      </c>
      <c r="C108" s="236"/>
      <c r="D108" s="236"/>
      <c r="E108" s="236"/>
      <c r="F108" s="236"/>
      <c r="G108" s="236"/>
      <c r="H108" s="236"/>
      <c r="J108" s="44"/>
    </row>
    <row r="109" spans="1:17" x14ac:dyDescent="0.2">
      <c r="A109" s="42"/>
      <c r="B109" s="236" t="s">
        <v>859</v>
      </c>
      <c r="C109" s="236"/>
      <c r="D109" s="236"/>
      <c r="E109" s="236"/>
      <c r="F109" s="236"/>
      <c r="G109" s="236"/>
      <c r="H109" s="236"/>
      <c r="J109" s="44"/>
    </row>
    <row r="110" spans="1:17" x14ac:dyDescent="0.2">
      <c r="A110" s="42"/>
      <c r="B110" s="236" t="s">
        <v>860</v>
      </c>
      <c r="C110" s="236"/>
      <c r="D110" s="236"/>
      <c r="E110" s="236"/>
      <c r="F110" s="236"/>
      <c r="G110" s="236"/>
      <c r="H110" s="236"/>
      <c r="J110" s="44"/>
    </row>
    <row r="111" spans="1:17" s="46" customFormat="1" ht="66.75" customHeight="1" x14ac:dyDescent="0.25">
      <c r="A111" s="45"/>
      <c r="B111" s="237" t="s">
        <v>861</v>
      </c>
      <c r="C111" s="237"/>
      <c r="D111" s="237"/>
      <c r="E111" s="237"/>
      <c r="F111" s="237"/>
      <c r="G111" s="237"/>
      <c r="H111" s="237"/>
      <c r="I111"/>
      <c r="J111" s="44"/>
      <c r="K111"/>
      <c r="L111"/>
      <c r="M111"/>
      <c r="N111"/>
      <c r="O111"/>
      <c r="P111"/>
      <c r="Q111"/>
    </row>
    <row r="112" spans="1:17" x14ac:dyDescent="0.2">
      <c r="A112" s="42"/>
      <c r="B112" s="236" t="s">
        <v>862</v>
      </c>
      <c r="C112" s="236"/>
      <c r="D112" s="236"/>
      <c r="E112" s="236"/>
      <c r="F112" s="236"/>
      <c r="G112" s="236"/>
      <c r="H112" s="236"/>
      <c r="J112" s="44"/>
    </row>
    <row r="113" spans="1:10" x14ac:dyDescent="0.2">
      <c r="A113" s="47"/>
      <c r="B113" s="47"/>
      <c r="C113" s="47"/>
      <c r="D113" s="48"/>
      <c r="E113" s="48"/>
      <c r="F113" s="48"/>
      <c r="G113" s="48"/>
    </row>
    <row r="114" spans="1:10" x14ac:dyDescent="0.2">
      <c r="A114" s="47"/>
      <c r="B114" s="233" t="s">
        <v>173</v>
      </c>
      <c r="C114" s="234"/>
      <c r="D114" s="235"/>
      <c r="E114" s="49"/>
      <c r="F114" s="48"/>
      <c r="G114" s="48"/>
    </row>
    <row r="115" spans="1:10" ht="25.5" customHeight="1" x14ac:dyDescent="0.2">
      <c r="A115" s="47"/>
      <c r="B115" s="231" t="s">
        <v>174</v>
      </c>
      <c r="C115" s="232"/>
      <c r="D115" s="26" t="s">
        <v>175</v>
      </c>
      <c r="E115" s="49"/>
      <c r="F115" s="48"/>
      <c r="G115" s="48"/>
    </row>
    <row r="116" spans="1:10" ht="12.75" customHeight="1" x14ac:dyDescent="0.2">
      <c r="A116" s="42"/>
      <c r="B116" s="227" t="s">
        <v>863</v>
      </c>
      <c r="C116" s="228"/>
      <c r="D116" s="50" t="s">
        <v>175</v>
      </c>
      <c r="E116" s="51"/>
      <c r="F116" s="52"/>
      <c r="G116" s="52"/>
    </row>
    <row r="117" spans="1:10" x14ac:dyDescent="0.2">
      <c r="A117" s="47"/>
      <c r="B117" s="231" t="s">
        <v>176</v>
      </c>
      <c r="C117" s="232"/>
      <c r="D117" s="35" t="s">
        <v>146</v>
      </c>
      <c r="E117" s="49"/>
      <c r="F117" s="48"/>
      <c r="G117" s="48"/>
    </row>
    <row r="118" spans="1:10" x14ac:dyDescent="0.2">
      <c r="A118" s="53"/>
      <c r="B118" s="54" t="s">
        <v>146</v>
      </c>
      <c r="C118" s="54" t="s">
        <v>864</v>
      </c>
      <c r="D118" s="54" t="s">
        <v>177</v>
      </c>
      <c r="E118" s="53"/>
      <c r="F118" s="53"/>
      <c r="G118" s="53"/>
      <c r="J118" s="44"/>
    </row>
    <row r="119" spans="1:10" x14ac:dyDescent="0.2">
      <c r="A119" s="53"/>
      <c r="B119" s="55" t="s">
        <v>178</v>
      </c>
      <c r="C119" s="56">
        <v>45657</v>
      </c>
      <c r="D119" s="56">
        <v>45688</v>
      </c>
      <c r="E119" s="53"/>
      <c r="F119" s="53"/>
      <c r="G119" s="53"/>
      <c r="J119" s="44"/>
    </row>
    <row r="120" spans="1:10" x14ac:dyDescent="0.2">
      <c r="A120" s="57"/>
      <c r="B120" s="28" t="s">
        <v>179</v>
      </c>
      <c r="C120" s="58">
        <v>28.434799999999999</v>
      </c>
      <c r="D120" s="58">
        <v>26.683499999999999</v>
      </c>
      <c r="E120" s="57"/>
      <c r="F120" s="59"/>
      <c r="G120" s="60"/>
    </row>
    <row r="121" spans="1:10" x14ac:dyDescent="0.2">
      <c r="A121" s="57"/>
      <c r="B121" s="28" t="s">
        <v>1025</v>
      </c>
      <c r="C121" s="58">
        <v>27.071400000000001</v>
      </c>
      <c r="D121" s="58">
        <v>25.4041</v>
      </c>
      <c r="E121" s="57"/>
      <c r="F121" s="59"/>
      <c r="G121" s="60"/>
    </row>
    <row r="122" spans="1:10" x14ac:dyDescent="0.2">
      <c r="A122" s="57"/>
      <c r="B122" s="28" t="s">
        <v>180</v>
      </c>
      <c r="C122" s="58">
        <v>27.680199999999999</v>
      </c>
      <c r="D122" s="58">
        <v>25.970600000000001</v>
      </c>
      <c r="E122" s="57"/>
      <c r="F122" s="59"/>
      <c r="G122" s="60"/>
    </row>
    <row r="123" spans="1:10" x14ac:dyDescent="0.2">
      <c r="A123" s="57"/>
      <c r="B123" s="28" t="s">
        <v>1026</v>
      </c>
      <c r="C123" s="58">
        <v>26.3201</v>
      </c>
      <c r="D123" s="58">
        <v>24.694500000000001</v>
      </c>
      <c r="E123" s="57"/>
      <c r="F123" s="59"/>
      <c r="G123" s="60"/>
    </row>
    <row r="124" spans="1:10" x14ac:dyDescent="0.2">
      <c r="A124" s="57"/>
      <c r="B124" s="57"/>
      <c r="C124" s="57"/>
      <c r="D124" s="57"/>
      <c r="E124" s="57"/>
      <c r="F124" s="57"/>
      <c r="G124" s="57"/>
    </row>
    <row r="125" spans="1:10" x14ac:dyDescent="0.2">
      <c r="A125" s="53"/>
      <c r="B125" s="227" t="s">
        <v>865</v>
      </c>
      <c r="C125" s="228"/>
      <c r="D125" s="50" t="s">
        <v>175</v>
      </c>
      <c r="E125" s="53"/>
      <c r="F125" s="53"/>
      <c r="G125" s="53"/>
    </row>
    <row r="126" spans="1:10" x14ac:dyDescent="0.2">
      <c r="A126" s="53"/>
      <c r="B126" s="74"/>
      <c r="C126" s="74"/>
      <c r="D126" s="74"/>
      <c r="E126" s="53"/>
      <c r="F126" s="53"/>
      <c r="G126" s="53"/>
    </row>
    <row r="127" spans="1:10" x14ac:dyDescent="0.2">
      <c r="A127" s="53"/>
      <c r="B127" s="227" t="s">
        <v>181</v>
      </c>
      <c r="C127" s="228"/>
      <c r="D127" s="50" t="s">
        <v>175</v>
      </c>
      <c r="E127" s="64"/>
      <c r="F127" s="53"/>
      <c r="G127" s="53"/>
    </row>
    <row r="128" spans="1:10" x14ac:dyDescent="0.2">
      <c r="A128" s="53"/>
      <c r="B128" s="227" t="s">
        <v>182</v>
      </c>
      <c r="C128" s="228"/>
      <c r="D128" s="50" t="s">
        <v>175</v>
      </c>
      <c r="E128" s="64"/>
      <c r="F128" s="53"/>
      <c r="G128" s="53"/>
    </row>
    <row r="129" spans="1:10" x14ac:dyDescent="0.2">
      <c r="A129" s="53"/>
      <c r="B129" s="227" t="s">
        <v>183</v>
      </c>
      <c r="C129" s="228"/>
      <c r="D129" s="50" t="s">
        <v>175</v>
      </c>
      <c r="E129" s="64"/>
      <c r="F129" s="53"/>
      <c r="G129" s="53"/>
    </row>
    <row r="130" spans="1:10" x14ac:dyDescent="0.2">
      <c r="A130" s="53"/>
      <c r="B130" s="227" t="s">
        <v>184</v>
      </c>
      <c r="C130" s="228"/>
      <c r="D130" s="65">
        <v>0.30990827705022483</v>
      </c>
      <c r="E130" s="53"/>
      <c r="F130" s="43"/>
      <c r="G130" s="63"/>
    </row>
    <row r="132" spans="1:10" x14ac:dyDescent="0.2">
      <c r="B132" s="229" t="s">
        <v>866</v>
      </c>
      <c r="C132" s="229"/>
    </row>
    <row r="134" spans="1:10" ht="153.75" customHeight="1" x14ac:dyDescent="0.2"/>
    <row r="137" spans="1:10" x14ac:dyDescent="0.2">
      <c r="B137" s="66" t="s">
        <v>867</v>
      </c>
      <c r="C137" s="67"/>
      <c r="D137" s="66"/>
    </row>
    <row r="138" spans="1:10" x14ac:dyDescent="0.2">
      <c r="B138" s="66" t="s">
        <v>880</v>
      </c>
      <c r="D138" s="66"/>
    </row>
    <row r="139" spans="1:10" ht="165" customHeight="1" x14ac:dyDescent="0.2"/>
    <row r="140" spans="1:10" x14ac:dyDescent="0.2">
      <c r="J140" s="21"/>
    </row>
  </sheetData>
  <mergeCells count="18">
    <mergeCell ref="A1:H1"/>
    <mergeCell ref="A2:H2"/>
    <mergeCell ref="A3:H3"/>
    <mergeCell ref="B116:C116"/>
    <mergeCell ref="B117:C117"/>
    <mergeCell ref="B114:D114"/>
    <mergeCell ref="B115:C115"/>
    <mergeCell ref="B108:H108"/>
    <mergeCell ref="B109:H109"/>
    <mergeCell ref="B110:H110"/>
    <mergeCell ref="B111:H111"/>
    <mergeCell ref="B112:H112"/>
    <mergeCell ref="B127:C127"/>
    <mergeCell ref="B128:C128"/>
    <mergeCell ref="B132:C132"/>
    <mergeCell ref="B125:C125"/>
    <mergeCell ref="B129:C129"/>
    <mergeCell ref="B130:C130"/>
  </mergeCells>
  <hyperlinks>
    <hyperlink ref="I1" location="Index!B2" display="Index" xr:uid="{3B6FCF75-8017-4AEC-B452-AE56B11BB3F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DFBBF-155E-4804-9CA1-82C1E11B84E3}">
  <sheetPr>
    <outlinePr summaryBelow="0" summaryRight="0"/>
  </sheetPr>
  <dimension ref="A1:Q138"/>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461</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379</v>
      </c>
      <c r="C7" s="28" t="s">
        <v>380</v>
      </c>
      <c r="D7" s="28" t="s">
        <v>39</v>
      </c>
      <c r="E7" s="29">
        <v>8097</v>
      </c>
      <c r="F7" s="30">
        <v>195.1377</v>
      </c>
      <c r="G7" s="31">
        <v>5.4281419999999997E-2</v>
      </c>
      <c r="H7" s="24" t="s">
        <v>146</v>
      </c>
    </row>
    <row r="8" spans="1:9" x14ac:dyDescent="0.2">
      <c r="A8" s="27">
        <v>2</v>
      </c>
      <c r="B8" s="28" t="s">
        <v>350</v>
      </c>
      <c r="C8" s="28" t="s">
        <v>351</v>
      </c>
      <c r="D8" s="28" t="s">
        <v>233</v>
      </c>
      <c r="E8" s="29">
        <v>3121</v>
      </c>
      <c r="F8" s="30">
        <v>178.92536949999999</v>
      </c>
      <c r="G8" s="31">
        <v>4.9771639999999999E-2</v>
      </c>
      <c r="H8" s="24" t="s">
        <v>146</v>
      </c>
    </row>
    <row r="9" spans="1:9" x14ac:dyDescent="0.2">
      <c r="A9" s="27">
        <v>3</v>
      </c>
      <c r="B9" s="28" t="s">
        <v>377</v>
      </c>
      <c r="C9" s="28" t="s">
        <v>378</v>
      </c>
      <c r="D9" s="28" t="s">
        <v>208</v>
      </c>
      <c r="E9" s="29">
        <v>35553</v>
      </c>
      <c r="F9" s="30">
        <v>174.7607715</v>
      </c>
      <c r="G9" s="31">
        <v>4.8613179999999999E-2</v>
      </c>
      <c r="H9" s="24" t="s">
        <v>146</v>
      </c>
    </row>
    <row r="10" spans="1:9" x14ac:dyDescent="0.2">
      <c r="A10" s="27">
        <v>4</v>
      </c>
      <c r="B10" s="28" t="s">
        <v>352</v>
      </c>
      <c r="C10" s="28" t="s">
        <v>353</v>
      </c>
      <c r="D10" s="28" t="s">
        <v>354</v>
      </c>
      <c r="E10" s="29">
        <v>10679</v>
      </c>
      <c r="F10" s="30">
        <v>161.03398050000001</v>
      </c>
      <c r="G10" s="31">
        <v>4.4794800000000003E-2</v>
      </c>
      <c r="H10" s="24" t="s">
        <v>146</v>
      </c>
    </row>
    <row r="11" spans="1:9" x14ac:dyDescent="0.2">
      <c r="A11" s="27">
        <v>5</v>
      </c>
      <c r="B11" s="28" t="s">
        <v>133</v>
      </c>
      <c r="C11" s="28" t="s">
        <v>134</v>
      </c>
      <c r="D11" s="28" t="s">
        <v>39</v>
      </c>
      <c r="E11" s="29">
        <v>46205</v>
      </c>
      <c r="F11" s="30">
        <v>161.02442500000001</v>
      </c>
      <c r="G11" s="31">
        <v>4.4792140000000001E-2</v>
      </c>
      <c r="H11" s="24" t="s">
        <v>146</v>
      </c>
    </row>
    <row r="12" spans="1:9" x14ac:dyDescent="0.2">
      <c r="A12" s="27">
        <v>6</v>
      </c>
      <c r="B12" s="28" t="s">
        <v>67</v>
      </c>
      <c r="C12" s="28" t="s">
        <v>68</v>
      </c>
      <c r="D12" s="28" t="s">
        <v>42</v>
      </c>
      <c r="E12" s="29">
        <v>22800</v>
      </c>
      <c r="F12" s="30">
        <v>160.1814</v>
      </c>
      <c r="G12" s="31">
        <v>4.4557630000000001E-2</v>
      </c>
      <c r="H12" s="24" t="s">
        <v>146</v>
      </c>
    </row>
    <row r="13" spans="1:9" x14ac:dyDescent="0.2">
      <c r="A13" s="27">
        <v>7</v>
      </c>
      <c r="B13" s="28" t="s">
        <v>381</v>
      </c>
      <c r="C13" s="28" t="s">
        <v>382</v>
      </c>
      <c r="D13" s="28" t="s">
        <v>223</v>
      </c>
      <c r="E13" s="29">
        <v>53380</v>
      </c>
      <c r="F13" s="30">
        <v>154.58848</v>
      </c>
      <c r="G13" s="31">
        <v>4.3001850000000001E-2</v>
      </c>
      <c r="H13" s="24" t="s">
        <v>146</v>
      </c>
    </row>
    <row r="14" spans="1:9" x14ac:dyDescent="0.2">
      <c r="A14" s="27">
        <v>8</v>
      </c>
      <c r="B14" s="28" t="s">
        <v>395</v>
      </c>
      <c r="C14" s="28" t="s">
        <v>396</v>
      </c>
      <c r="D14" s="28" t="s">
        <v>233</v>
      </c>
      <c r="E14" s="29">
        <v>5956</v>
      </c>
      <c r="F14" s="30">
        <v>139.73371599999999</v>
      </c>
      <c r="G14" s="31">
        <v>3.8869710000000002E-2</v>
      </c>
      <c r="H14" s="24" t="s">
        <v>146</v>
      </c>
    </row>
    <row r="15" spans="1:9" ht="25.5" x14ac:dyDescent="0.2">
      <c r="A15" s="27">
        <v>9</v>
      </c>
      <c r="B15" s="28" t="s">
        <v>301</v>
      </c>
      <c r="C15" s="28" t="s">
        <v>302</v>
      </c>
      <c r="D15" s="28" t="s">
        <v>258</v>
      </c>
      <c r="E15" s="29">
        <v>3361</v>
      </c>
      <c r="F15" s="30">
        <v>139.43780699999999</v>
      </c>
      <c r="G15" s="31">
        <v>3.8787389999999998E-2</v>
      </c>
      <c r="H15" s="24" t="s">
        <v>146</v>
      </c>
    </row>
    <row r="16" spans="1:9" x14ac:dyDescent="0.2">
      <c r="A16" s="27">
        <v>10</v>
      </c>
      <c r="B16" s="28" t="s">
        <v>52</v>
      </c>
      <c r="C16" s="28" t="s">
        <v>53</v>
      </c>
      <c r="D16" s="28" t="s">
        <v>42</v>
      </c>
      <c r="E16" s="29">
        <v>3360</v>
      </c>
      <c r="F16" s="30">
        <v>135.19296</v>
      </c>
      <c r="G16" s="31">
        <v>3.7606599999999997E-2</v>
      </c>
      <c r="H16" s="24" t="s">
        <v>146</v>
      </c>
    </row>
    <row r="17" spans="1:8" x14ac:dyDescent="0.2">
      <c r="A17" s="27">
        <v>11</v>
      </c>
      <c r="B17" s="28" t="s">
        <v>387</v>
      </c>
      <c r="C17" s="28" t="s">
        <v>388</v>
      </c>
      <c r="D17" s="28" t="s">
        <v>33</v>
      </c>
      <c r="E17" s="29">
        <v>180840</v>
      </c>
      <c r="F17" s="30">
        <v>120.2586</v>
      </c>
      <c r="G17" s="31">
        <v>3.3452320000000001E-2</v>
      </c>
      <c r="H17" s="24" t="s">
        <v>146</v>
      </c>
    </row>
    <row r="18" spans="1:8" x14ac:dyDescent="0.2">
      <c r="A18" s="27">
        <v>12</v>
      </c>
      <c r="B18" s="28" t="s">
        <v>385</v>
      </c>
      <c r="C18" s="28" t="s">
        <v>386</v>
      </c>
      <c r="D18" s="28" t="s">
        <v>33</v>
      </c>
      <c r="E18" s="29">
        <v>37549</v>
      </c>
      <c r="F18" s="30">
        <v>114.937489</v>
      </c>
      <c r="G18" s="31">
        <v>3.1972140000000003E-2</v>
      </c>
      <c r="H18" s="24" t="s">
        <v>146</v>
      </c>
    </row>
    <row r="19" spans="1:8" x14ac:dyDescent="0.2">
      <c r="A19" s="27">
        <v>13</v>
      </c>
      <c r="B19" s="28" t="s">
        <v>383</v>
      </c>
      <c r="C19" s="28" t="s">
        <v>384</v>
      </c>
      <c r="D19" s="28" t="s">
        <v>195</v>
      </c>
      <c r="E19" s="29">
        <v>16328</v>
      </c>
      <c r="F19" s="30">
        <v>114.157212</v>
      </c>
      <c r="G19" s="31">
        <v>3.175509E-2</v>
      </c>
      <c r="H19" s="24" t="s">
        <v>146</v>
      </c>
    </row>
    <row r="20" spans="1:8" ht="25.5" x14ac:dyDescent="0.2">
      <c r="A20" s="27">
        <v>14</v>
      </c>
      <c r="B20" s="28" t="s">
        <v>50</v>
      </c>
      <c r="C20" s="28" t="s">
        <v>51</v>
      </c>
      <c r="D20" s="28" t="s">
        <v>25</v>
      </c>
      <c r="E20" s="29">
        <v>2267</v>
      </c>
      <c r="F20" s="30">
        <v>109.6060495</v>
      </c>
      <c r="G20" s="31">
        <v>3.0489100000000002E-2</v>
      </c>
      <c r="H20" s="24" t="s">
        <v>146</v>
      </c>
    </row>
    <row r="21" spans="1:8" x14ac:dyDescent="0.2">
      <c r="A21" s="27">
        <v>15</v>
      </c>
      <c r="B21" s="28" t="s">
        <v>389</v>
      </c>
      <c r="C21" s="28" t="s">
        <v>390</v>
      </c>
      <c r="D21" s="28" t="s">
        <v>33</v>
      </c>
      <c r="E21" s="29">
        <v>298383</v>
      </c>
      <c r="F21" s="30">
        <v>107.1791736</v>
      </c>
      <c r="G21" s="31">
        <v>2.9814009999999998E-2</v>
      </c>
      <c r="H21" s="24" t="s">
        <v>146</v>
      </c>
    </row>
    <row r="22" spans="1:8" x14ac:dyDescent="0.2">
      <c r="A22" s="27">
        <v>16</v>
      </c>
      <c r="B22" s="28" t="s">
        <v>409</v>
      </c>
      <c r="C22" s="28" t="s">
        <v>410</v>
      </c>
      <c r="D22" s="28" t="s">
        <v>195</v>
      </c>
      <c r="E22" s="29">
        <v>19125</v>
      </c>
      <c r="F22" s="30">
        <v>102.24225</v>
      </c>
      <c r="G22" s="31">
        <v>2.8440710000000001E-2</v>
      </c>
      <c r="H22" s="24" t="s">
        <v>146</v>
      </c>
    </row>
    <row r="23" spans="1:8" ht="25.5" x14ac:dyDescent="0.2">
      <c r="A23" s="27">
        <v>17</v>
      </c>
      <c r="B23" s="28" t="s">
        <v>393</v>
      </c>
      <c r="C23" s="28" t="s">
        <v>394</v>
      </c>
      <c r="D23" s="28" t="s">
        <v>198</v>
      </c>
      <c r="E23" s="29">
        <v>1831</v>
      </c>
      <c r="F23" s="30">
        <v>98.555406000000005</v>
      </c>
      <c r="G23" s="31">
        <v>2.7415140000000001E-2</v>
      </c>
      <c r="H23" s="24" t="s">
        <v>146</v>
      </c>
    </row>
    <row r="24" spans="1:8" ht="25.5" x14ac:dyDescent="0.2">
      <c r="A24" s="27">
        <v>18</v>
      </c>
      <c r="B24" s="28" t="s">
        <v>402</v>
      </c>
      <c r="C24" s="28" t="s">
        <v>403</v>
      </c>
      <c r="D24" s="28" t="s">
        <v>404</v>
      </c>
      <c r="E24" s="29">
        <v>26872</v>
      </c>
      <c r="F24" s="30">
        <v>90.061508000000003</v>
      </c>
      <c r="G24" s="31">
        <v>2.5052399999999999E-2</v>
      </c>
      <c r="H24" s="24" t="s">
        <v>146</v>
      </c>
    </row>
    <row r="25" spans="1:8" x14ac:dyDescent="0.2">
      <c r="A25" s="27">
        <v>19</v>
      </c>
      <c r="B25" s="28" t="s">
        <v>45</v>
      </c>
      <c r="C25" s="28" t="s">
        <v>46</v>
      </c>
      <c r="D25" s="28" t="s">
        <v>47</v>
      </c>
      <c r="E25" s="29">
        <v>7562</v>
      </c>
      <c r="F25" s="30">
        <v>88.554800999999998</v>
      </c>
      <c r="G25" s="31">
        <v>2.463328E-2</v>
      </c>
      <c r="H25" s="24" t="s">
        <v>146</v>
      </c>
    </row>
    <row r="26" spans="1:8" x14ac:dyDescent="0.2">
      <c r="A26" s="27">
        <v>20</v>
      </c>
      <c r="B26" s="28" t="s">
        <v>397</v>
      </c>
      <c r="C26" s="28" t="s">
        <v>398</v>
      </c>
      <c r="D26" s="28" t="s">
        <v>42</v>
      </c>
      <c r="E26" s="29">
        <v>8741</v>
      </c>
      <c r="F26" s="30">
        <v>87.139028999999994</v>
      </c>
      <c r="G26" s="31">
        <v>2.4239449999999999E-2</v>
      </c>
      <c r="H26" s="24" t="s">
        <v>146</v>
      </c>
    </row>
    <row r="27" spans="1:8" x14ac:dyDescent="0.2">
      <c r="A27" s="27">
        <v>21</v>
      </c>
      <c r="B27" s="28" t="s">
        <v>399</v>
      </c>
      <c r="C27" s="28" t="s">
        <v>400</v>
      </c>
      <c r="D27" s="28" t="s">
        <v>401</v>
      </c>
      <c r="E27" s="29">
        <v>7495</v>
      </c>
      <c r="F27" s="30">
        <v>81.732974999999996</v>
      </c>
      <c r="G27" s="31">
        <v>2.273565E-2</v>
      </c>
      <c r="H27" s="24" t="s">
        <v>146</v>
      </c>
    </row>
    <row r="28" spans="1:8" x14ac:dyDescent="0.2">
      <c r="A28" s="27">
        <v>22</v>
      </c>
      <c r="B28" s="28" t="s">
        <v>59</v>
      </c>
      <c r="C28" s="28" t="s">
        <v>60</v>
      </c>
      <c r="D28" s="28" t="s">
        <v>13</v>
      </c>
      <c r="E28" s="29">
        <v>7465</v>
      </c>
      <c r="F28" s="30">
        <v>79.028222499999998</v>
      </c>
      <c r="G28" s="31">
        <v>2.1983269999999999E-2</v>
      </c>
      <c r="H28" s="24" t="s">
        <v>146</v>
      </c>
    </row>
    <row r="29" spans="1:8" x14ac:dyDescent="0.2">
      <c r="A29" s="27">
        <v>23</v>
      </c>
      <c r="B29" s="28" t="s">
        <v>40</v>
      </c>
      <c r="C29" s="28" t="s">
        <v>41</v>
      </c>
      <c r="D29" s="28" t="s">
        <v>42</v>
      </c>
      <c r="E29" s="29">
        <v>1517</v>
      </c>
      <c r="F29" s="30">
        <v>76.024455000000003</v>
      </c>
      <c r="G29" s="31">
        <v>2.114771E-2</v>
      </c>
      <c r="H29" s="24" t="s">
        <v>146</v>
      </c>
    </row>
    <row r="30" spans="1:8" x14ac:dyDescent="0.2">
      <c r="A30" s="27">
        <v>24</v>
      </c>
      <c r="B30" s="28" t="s">
        <v>413</v>
      </c>
      <c r="C30" s="28" t="s">
        <v>414</v>
      </c>
      <c r="D30" s="28" t="s">
        <v>223</v>
      </c>
      <c r="E30" s="29">
        <v>9506</v>
      </c>
      <c r="F30" s="30">
        <v>68.999301000000003</v>
      </c>
      <c r="G30" s="31">
        <v>1.9193519999999999E-2</v>
      </c>
      <c r="H30" s="24" t="s">
        <v>146</v>
      </c>
    </row>
    <row r="31" spans="1:8" x14ac:dyDescent="0.2">
      <c r="A31" s="27">
        <v>25</v>
      </c>
      <c r="B31" s="28" t="s">
        <v>411</v>
      </c>
      <c r="C31" s="28" t="s">
        <v>412</v>
      </c>
      <c r="D31" s="28" t="s">
        <v>42</v>
      </c>
      <c r="E31" s="29">
        <v>14157</v>
      </c>
      <c r="F31" s="30">
        <v>66.891824999999997</v>
      </c>
      <c r="G31" s="31">
        <v>1.8607289999999999E-2</v>
      </c>
      <c r="H31" s="24" t="s">
        <v>146</v>
      </c>
    </row>
    <row r="32" spans="1:8" x14ac:dyDescent="0.2">
      <c r="A32" s="27">
        <v>26</v>
      </c>
      <c r="B32" s="28" t="s">
        <v>244</v>
      </c>
      <c r="C32" s="28" t="s">
        <v>245</v>
      </c>
      <c r="D32" s="28" t="s">
        <v>120</v>
      </c>
      <c r="E32" s="29">
        <v>707</v>
      </c>
      <c r="F32" s="30">
        <v>66.193935499999995</v>
      </c>
      <c r="G32" s="31">
        <v>1.8413160000000001E-2</v>
      </c>
      <c r="H32" s="24" t="s">
        <v>146</v>
      </c>
    </row>
    <row r="33" spans="1:8" x14ac:dyDescent="0.2">
      <c r="A33" s="27">
        <v>27</v>
      </c>
      <c r="B33" s="28" t="s">
        <v>317</v>
      </c>
      <c r="C33" s="28" t="s">
        <v>318</v>
      </c>
      <c r="D33" s="28" t="s">
        <v>120</v>
      </c>
      <c r="E33" s="29">
        <v>4105</v>
      </c>
      <c r="F33" s="30">
        <v>62.346739999999997</v>
      </c>
      <c r="G33" s="31">
        <v>1.7342980000000001E-2</v>
      </c>
      <c r="H33" s="24" t="s">
        <v>146</v>
      </c>
    </row>
    <row r="34" spans="1:8" x14ac:dyDescent="0.2">
      <c r="A34" s="27">
        <v>28</v>
      </c>
      <c r="B34" s="28" t="s">
        <v>407</v>
      </c>
      <c r="C34" s="28" t="s">
        <v>408</v>
      </c>
      <c r="D34" s="28" t="s">
        <v>120</v>
      </c>
      <c r="E34" s="29">
        <v>9140</v>
      </c>
      <c r="F34" s="30">
        <v>61.02778</v>
      </c>
      <c r="G34" s="31">
        <v>1.6976089999999999E-2</v>
      </c>
      <c r="H34" s="24" t="s">
        <v>146</v>
      </c>
    </row>
    <row r="35" spans="1:8" ht="25.5" x14ac:dyDescent="0.2">
      <c r="A35" s="27">
        <v>29</v>
      </c>
      <c r="B35" s="28" t="s">
        <v>415</v>
      </c>
      <c r="C35" s="28" t="s">
        <v>416</v>
      </c>
      <c r="D35" s="28" t="s">
        <v>198</v>
      </c>
      <c r="E35" s="29">
        <v>10194</v>
      </c>
      <c r="F35" s="30">
        <v>59.538057000000002</v>
      </c>
      <c r="G35" s="31">
        <v>1.656169E-2</v>
      </c>
      <c r="H35" s="24" t="s">
        <v>146</v>
      </c>
    </row>
    <row r="36" spans="1:8" x14ac:dyDescent="0.2">
      <c r="A36" s="27">
        <v>30</v>
      </c>
      <c r="B36" s="28" t="s">
        <v>417</v>
      </c>
      <c r="C36" s="28" t="s">
        <v>418</v>
      </c>
      <c r="D36" s="28" t="s">
        <v>354</v>
      </c>
      <c r="E36" s="29">
        <v>12789</v>
      </c>
      <c r="F36" s="30">
        <v>54.295699499999998</v>
      </c>
      <c r="G36" s="31">
        <v>1.5103429999999999E-2</v>
      </c>
      <c r="H36" s="24" t="s">
        <v>146</v>
      </c>
    </row>
    <row r="37" spans="1:8" x14ac:dyDescent="0.2">
      <c r="A37" s="27">
        <v>31</v>
      </c>
      <c r="B37" s="28" t="s">
        <v>457</v>
      </c>
      <c r="C37" s="28" t="s">
        <v>458</v>
      </c>
      <c r="D37" s="28" t="s">
        <v>42</v>
      </c>
      <c r="E37" s="29">
        <v>10251</v>
      </c>
      <c r="F37" s="30">
        <v>53.095054500000003</v>
      </c>
      <c r="G37" s="31">
        <v>1.476944E-2</v>
      </c>
      <c r="H37" s="24" t="s">
        <v>146</v>
      </c>
    </row>
    <row r="38" spans="1:8" x14ac:dyDescent="0.2">
      <c r="A38" s="27">
        <v>32</v>
      </c>
      <c r="B38" s="28" t="s">
        <v>405</v>
      </c>
      <c r="C38" s="28" t="s">
        <v>406</v>
      </c>
      <c r="D38" s="28" t="s">
        <v>39</v>
      </c>
      <c r="E38" s="29">
        <v>5396</v>
      </c>
      <c r="F38" s="30">
        <v>43.418914000000001</v>
      </c>
      <c r="G38" s="31">
        <v>1.2077829999999999E-2</v>
      </c>
      <c r="H38" s="24" t="s">
        <v>146</v>
      </c>
    </row>
    <row r="39" spans="1:8" x14ac:dyDescent="0.2">
      <c r="A39" s="27">
        <v>33</v>
      </c>
      <c r="B39" s="28" t="s">
        <v>423</v>
      </c>
      <c r="C39" s="28" t="s">
        <v>424</v>
      </c>
      <c r="D39" s="28" t="s">
        <v>39</v>
      </c>
      <c r="E39" s="29">
        <v>5457</v>
      </c>
      <c r="F39" s="30">
        <v>33.844313999999997</v>
      </c>
      <c r="G39" s="31">
        <v>9.4144699999999994E-3</v>
      </c>
      <c r="H39" s="24" t="s">
        <v>146</v>
      </c>
    </row>
    <row r="40" spans="1:8" x14ac:dyDescent="0.2">
      <c r="A40" s="27">
        <v>34</v>
      </c>
      <c r="B40" s="28" t="s">
        <v>429</v>
      </c>
      <c r="C40" s="28" t="s">
        <v>430</v>
      </c>
      <c r="D40" s="28" t="s">
        <v>83</v>
      </c>
      <c r="E40" s="29">
        <v>4604</v>
      </c>
      <c r="F40" s="30">
        <v>19.981359999999999</v>
      </c>
      <c r="G40" s="31">
        <v>5.5582100000000001E-3</v>
      </c>
      <c r="H40" s="24" t="s">
        <v>146</v>
      </c>
    </row>
    <row r="41" spans="1:8" x14ac:dyDescent="0.2">
      <c r="A41" s="25"/>
      <c r="B41" s="25"/>
      <c r="C41" s="26" t="s">
        <v>145</v>
      </c>
      <c r="D41" s="25"/>
      <c r="E41" s="25" t="s">
        <v>146</v>
      </c>
      <c r="F41" s="32">
        <v>3459.1267606000001</v>
      </c>
      <c r="G41" s="33">
        <v>0.96222474000000002</v>
      </c>
      <c r="H41" s="24" t="s">
        <v>146</v>
      </c>
    </row>
    <row r="42" spans="1:8" x14ac:dyDescent="0.2">
      <c r="A42" s="25"/>
      <c r="B42" s="25"/>
      <c r="C42" s="34"/>
      <c r="D42" s="25"/>
      <c r="E42" s="25"/>
      <c r="F42" s="35"/>
      <c r="G42" s="35"/>
      <c r="H42" s="24" t="s">
        <v>146</v>
      </c>
    </row>
    <row r="43" spans="1:8" x14ac:dyDescent="0.2">
      <c r="A43" s="25"/>
      <c r="B43" s="25"/>
      <c r="C43" s="26" t="s">
        <v>147</v>
      </c>
      <c r="D43" s="25"/>
      <c r="E43" s="25"/>
      <c r="F43" s="25"/>
      <c r="G43" s="25"/>
      <c r="H43" s="24" t="s">
        <v>146</v>
      </c>
    </row>
    <row r="44" spans="1:8" x14ac:dyDescent="0.2">
      <c r="A44" s="25"/>
      <c r="B44" s="25"/>
      <c r="C44" s="26" t="s">
        <v>145</v>
      </c>
      <c r="D44" s="25"/>
      <c r="E44" s="25" t="s">
        <v>146</v>
      </c>
      <c r="F44" s="36" t="s">
        <v>148</v>
      </c>
      <c r="G44" s="33">
        <v>0</v>
      </c>
      <c r="H44" s="24" t="s">
        <v>146</v>
      </c>
    </row>
    <row r="45" spans="1:8" x14ac:dyDescent="0.2">
      <c r="A45" s="25"/>
      <c r="B45" s="25"/>
      <c r="C45" s="34"/>
      <c r="D45" s="25"/>
      <c r="E45" s="25"/>
      <c r="F45" s="35"/>
      <c r="G45" s="35"/>
      <c r="H45" s="24" t="s">
        <v>146</v>
      </c>
    </row>
    <row r="46" spans="1:8" x14ac:dyDescent="0.2">
      <c r="A46" s="25"/>
      <c r="B46" s="25"/>
      <c r="C46" s="26" t="s">
        <v>149</v>
      </c>
      <c r="D46" s="25"/>
      <c r="E46" s="25"/>
      <c r="F46" s="25"/>
      <c r="G46" s="25"/>
      <c r="H46" s="24" t="s">
        <v>146</v>
      </c>
    </row>
    <row r="47" spans="1:8" x14ac:dyDescent="0.2">
      <c r="A47" s="25"/>
      <c r="B47" s="25"/>
      <c r="C47" s="26" t="s">
        <v>145</v>
      </c>
      <c r="D47" s="25"/>
      <c r="E47" s="25" t="s">
        <v>146</v>
      </c>
      <c r="F47" s="36" t="s">
        <v>148</v>
      </c>
      <c r="G47" s="33">
        <v>0</v>
      </c>
      <c r="H47" s="24" t="s">
        <v>146</v>
      </c>
    </row>
    <row r="48" spans="1:8" x14ac:dyDescent="0.2">
      <c r="A48" s="25"/>
      <c r="B48" s="25"/>
      <c r="C48" s="34"/>
      <c r="D48" s="25"/>
      <c r="E48" s="25"/>
      <c r="F48" s="35"/>
      <c r="G48" s="35"/>
      <c r="H48" s="24" t="s">
        <v>146</v>
      </c>
    </row>
    <row r="49" spans="1:8" x14ac:dyDescent="0.2">
      <c r="A49" s="25"/>
      <c r="B49" s="25"/>
      <c r="C49" s="26" t="s">
        <v>150</v>
      </c>
      <c r="D49" s="25"/>
      <c r="E49" s="25"/>
      <c r="F49" s="25"/>
      <c r="G49" s="25"/>
      <c r="H49" s="24" t="s">
        <v>146</v>
      </c>
    </row>
    <row r="50" spans="1:8" x14ac:dyDescent="0.2">
      <c r="A50" s="25"/>
      <c r="B50" s="25"/>
      <c r="C50" s="26" t="s">
        <v>145</v>
      </c>
      <c r="D50" s="25"/>
      <c r="E50" s="25" t="s">
        <v>146</v>
      </c>
      <c r="F50" s="36" t="s">
        <v>148</v>
      </c>
      <c r="G50" s="33">
        <v>0</v>
      </c>
      <c r="H50" s="24" t="s">
        <v>146</v>
      </c>
    </row>
    <row r="51" spans="1:8" x14ac:dyDescent="0.2">
      <c r="A51" s="25"/>
      <c r="B51" s="25"/>
      <c r="C51" s="34"/>
      <c r="D51" s="25"/>
      <c r="E51" s="25"/>
      <c r="F51" s="35"/>
      <c r="G51" s="35"/>
      <c r="H51" s="24" t="s">
        <v>146</v>
      </c>
    </row>
    <row r="52" spans="1:8" x14ac:dyDescent="0.2">
      <c r="A52" s="25"/>
      <c r="B52" s="25"/>
      <c r="C52" s="26" t="s">
        <v>151</v>
      </c>
      <c r="D52" s="25"/>
      <c r="E52" s="25"/>
      <c r="F52" s="35"/>
      <c r="G52" s="35"/>
      <c r="H52" s="24" t="s">
        <v>146</v>
      </c>
    </row>
    <row r="53" spans="1:8" x14ac:dyDescent="0.2">
      <c r="A53" s="25"/>
      <c r="B53" s="25"/>
      <c r="C53" s="26" t="s">
        <v>145</v>
      </c>
      <c r="D53" s="25"/>
      <c r="E53" s="25" t="s">
        <v>146</v>
      </c>
      <c r="F53" s="36" t="s">
        <v>148</v>
      </c>
      <c r="G53" s="33">
        <v>0</v>
      </c>
      <c r="H53" s="24" t="s">
        <v>146</v>
      </c>
    </row>
    <row r="54" spans="1:8" x14ac:dyDescent="0.2">
      <c r="A54" s="25"/>
      <c r="B54" s="25"/>
      <c r="C54" s="34"/>
      <c r="D54" s="25"/>
      <c r="E54" s="25"/>
      <c r="F54" s="35"/>
      <c r="G54" s="35"/>
      <c r="H54" s="24" t="s">
        <v>146</v>
      </c>
    </row>
    <row r="55" spans="1:8" x14ac:dyDescent="0.2">
      <c r="A55" s="25"/>
      <c r="B55" s="25"/>
      <c r="C55" s="26" t="s">
        <v>152</v>
      </c>
      <c r="D55" s="25"/>
      <c r="E55" s="25"/>
      <c r="F55" s="35"/>
      <c r="G55" s="35"/>
      <c r="H55" s="24" t="s">
        <v>146</v>
      </c>
    </row>
    <row r="56" spans="1:8" x14ac:dyDescent="0.2">
      <c r="A56" s="25"/>
      <c r="B56" s="25"/>
      <c r="C56" s="26" t="s">
        <v>145</v>
      </c>
      <c r="D56" s="25"/>
      <c r="E56" s="25" t="s">
        <v>146</v>
      </c>
      <c r="F56" s="36" t="s">
        <v>148</v>
      </c>
      <c r="G56" s="33">
        <v>0</v>
      </c>
      <c r="H56" s="24" t="s">
        <v>146</v>
      </c>
    </row>
    <row r="57" spans="1:8" x14ac:dyDescent="0.2">
      <c r="A57" s="25"/>
      <c r="B57" s="25"/>
      <c r="C57" s="34"/>
      <c r="D57" s="25"/>
      <c r="E57" s="25"/>
      <c r="F57" s="35"/>
      <c r="G57" s="35"/>
      <c r="H57" s="24" t="s">
        <v>146</v>
      </c>
    </row>
    <row r="58" spans="1:8" x14ac:dyDescent="0.2">
      <c r="A58" s="25"/>
      <c r="B58" s="25"/>
      <c r="C58" s="26" t="s">
        <v>153</v>
      </c>
      <c r="D58" s="25"/>
      <c r="E58" s="25"/>
      <c r="F58" s="32">
        <v>3459.1267606000001</v>
      </c>
      <c r="G58" s="33">
        <v>0.96222474000000002</v>
      </c>
      <c r="H58" s="24" t="s">
        <v>146</v>
      </c>
    </row>
    <row r="59" spans="1:8" x14ac:dyDescent="0.2">
      <c r="A59" s="25"/>
      <c r="B59" s="25"/>
      <c r="C59" s="34"/>
      <c r="D59" s="25"/>
      <c r="E59" s="25"/>
      <c r="F59" s="35"/>
      <c r="G59" s="35"/>
      <c r="H59" s="24" t="s">
        <v>146</v>
      </c>
    </row>
    <row r="60" spans="1:8" x14ac:dyDescent="0.2">
      <c r="A60" s="25"/>
      <c r="B60" s="25"/>
      <c r="C60" s="26" t="s">
        <v>154</v>
      </c>
      <c r="D60" s="25"/>
      <c r="E60" s="25"/>
      <c r="F60" s="35"/>
      <c r="G60" s="35"/>
      <c r="H60" s="24" t="s">
        <v>146</v>
      </c>
    </row>
    <row r="61" spans="1:8" x14ac:dyDescent="0.2">
      <c r="A61" s="25"/>
      <c r="B61" s="25"/>
      <c r="C61" s="26" t="s">
        <v>10</v>
      </c>
      <c r="D61" s="25"/>
      <c r="E61" s="25"/>
      <c r="F61" s="35"/>
      <c r="G61" s="35"/>
      <c r="H61" s="24" t="s">
        <v>146</v>
      </c>
    </row>
    <row r="62" spans="1:8" x14ac:dyDescent="0.2">
      <c r="A62" s="25"/>
      <c r="B62" s="25"/>
      <c r="C62" s="26" t="s">
        <v>145</v>
      </c>
      <c r="D62" s="25"/>
      <c r="E62" s="25" t="s">
        <v>146</v>
      </c>
      <c r="F62" s="36" t="s">
        <v>148</v>
      </c>
      <c r="G62" s="33">
        <v>0</v>
      </c>
      <c r="H62" s="24" t="s">
        <v>146</v>
      </c>
    </row>
    <row r="63" spans="1:8" x14ac:dyDescent="0.2">
      <c r="A63" s="25"/>
      <c r="B63" s="25"/>
      <c r="C63" s="34"/>
      <c r="D63" s="25"/>
      <c r="E63" s="25"/>
      <c r="F63" s="35"/>
      <c r="G63" s="35"/>
      <c r="H63" s="24" t="s">
        <v>146</v>
      </c>
    </row>
    <row r="64" spans="1:8" x14ac:dyDescent="0.2">
      <c r="A64" s="25"/>
      <c r="B64" s="25"/>
      <c r="C64" s="26" t="s">
        <v>155</v>
      </c>
      <c r="D64" s="25"/>
      <c r="E64" s="25"/>
      <c r="F64" s="25"/>
      <c r="G64" s="25"/>
      <c r="H64" s="24" t="s">
        <v>146</v>
      </c>
    </row>
    <row r="65" spans="1:8" x14ac:dyDescent="0.2">
      <c r="A65" s="25"/>
      <c r="B65" s="25"/>
      <c r="C65" s="26" t="s">
        <v>145</v>
      </c>
      <c r="D65" s="25"/>
      <c r="E65" s="25" t="s">
        <v>146</v>
      </c>
      <c r="F65" s="36" t="s">
        <v>148</v>
      </c>
      <c r="G65" s="33">
        <v>0</v>
      </c>
      <c r="H65" s="24" t="s">
        <v>146</v>
      </c>
    </row>
    <row r="66" spans="1:8" x14ac:dyDescent="0.2">
      <c r="A66" s="25"/>
      <c r="B66" s="25"/>
      <c r="C66" s="34"/>
      <c r="D66" s="25"/>
      <c r="E66" s="25"/>
      <c r="F66" s="35"/>
      <c r="G66" s="35"/>
      <c r="H66" s="24" t="s">
        <v>146</v>
      </c>
    </row>
    <row r="67" spans="1:8" x14ac:dyDescent="0.2">
      <c r="A67" s="25"/>
      <c r="B67" s="25"/>
      <c r="C67" s="26" t="s">
        <v>156</v>
      </c>
      <c r="D67" s="25"/>
      <c r="E67" s="25"/>
      <c r="F67" s="25"/>
      <c r="G67" s="25"/>
      <c r="H67" s="24" t="s">
        <v>146</v>
      </c>
    </row>
    <row r="68" spans="1:8" x14ac:dyDescent="0.2">
      <c r="A68" s="25"/>
      <c r="B68" s="25"/>
      <c r="C68" s="26" t="s">
        <v>145</v>
      </c>
      <c r="D68" s="25"/>
      <c r="E68" s="25" t="s">
        <v>146</v>
      </c>
      <c r="F68" s="36" t="s">
        <v>148</v>
      </c>
      <c r="G68" s="33">
        <v>0</v>
      </c>
      <c r="H68" s="24" t="s">
        <v>146</v>
      </c>
    </row>
    <row r="69" spans="1:8" x14ac:dyDescent="0.2">
      <c r="A69" s="25"/>
      <c r="B69" s="25"/>
      <c r="C69" s="34"/>
      <c r="D69" s="25"/>
      <c r="E69" s="25"/>
      <c r="F69" s="35"/>
      <c r="G69" s="35"/>
      <c r="H69" s="24" t="s">
        <v>146</v>
      </c>
    </row>
    <row r="70" spans="1:8" x14ac:dyDescent="0.2">
      <c r="A70" s="25"/>
      <c r="B70" s="25"/>
      <c r="C70" s="26" t="s">
        <v>157</v>
      </c>
      <c r="D70" s="25"/>
      <c r="E70" s="25"/>
      <c r="F70" s="35"/>
      <c r="G70" s="35"/>
      <c r="H70" s="24" t="s">
        <v>146</v>
      </c>
    </row>
    <row r="71" spans="1:8" x14ac:dyDescent="0.2">
      <c r="A71" s="25"/>
      <c r="B71" s="25"/>
      <c r="C71" s="26" t="s">
        <v>145</v>
      </c>
      <c r="D71" s="25"/>
      <c r="E71" s="25" t="s">
        <v>146</v>
      </c>
      <c r="F71" s="36" t="s">
        <v>148</v>
      </c>
      <c r="G71" s="33">
        <v>0</v>
      </c>
      <c r="H71" s="24" t="s">
        <v>146</v>
      </c>
    </row>
    <row r="72" spans="1:8" x14ac:dyDescent="0.2">
      <c r="A72" s="25"/>
      <c r="B72" s="25"/>
      <c r="C72" s="34"/>
      <c r="D72" s="25"/>
      <c r="E72" s="25"/>
      <c r="F72" s="35"/>
      <c r="G72" s="35"/>
      <c r="H72" s="24" t="s">
        <v>146</v>
      </c>
    </row>
    <row r="73" spans="1:8" x14ac:dyDescent="0.2">
      <c r="A73" s="25"/>
      <c r="B73" s="25"/>
      <c r="C73" s="26" t="s">
        <v>158</v>
      </c>
      <c r="D73" s="25"/>
      <c r="E73" s="25"/>
      <c r="F73" s="32">
        <v>0</v>
      </c>
      <c r="G73" s="33">
        <v>0</v>
      </c>
      <c r="H73" s="24" t="s">
        <v>146</v>
      </c>
    </row>
    <row r="74" spans="1:8" x14ac:dyDescent="0.2">
      <c r="A74" s="25"/>
      <c r="B74" s="25"/>
      <c r="C74" s="34"/>
      <c r="D74" s="25"/>
      <c r="E74" s="25"/>
      <c r="F74" s="35"/>
      <c r="G74" s="35"/>
      <c r="H74" s="24" t="s">
        <v>146</v>
      </c>
    </row>
    <row r="75" spans="1:8" x14ac:dyDescent="0.2">
      <c r="A75" s="25"/>
      <c r="B75" s="25"/>
      <c r="C75" s="26" t="s">
        <v>159</v>
      </c>
      <c r="D75" s="25"/>
      <c r="E75" s="25"/>
      <c r="F75" s="35"/>
      <c r="G75" s="35"/>
      <c r="H75" s="24" t="s">
        <v>146</v>
      </c>
    </row>
    <row r="76" spans="1:8" x14ac:dyDescent="0.2">
      <c r="A76" s="25"/>
      <c r="B76" s="25"/>
      <c r="C76" s="26" t="s">
        <v>160</v>
      </c>
      <c r="D76" s="25"/>
      <c r="E76" s="25"/>
      <c r="F76" s="35"/>
      <c r="G76" s="35"/>
      <c r="H76" s="24" t="s">
        <v>146</v>
      </c>
    </row>
    <row r="77" spans="1:8" x14ac:dyDescent="0.2">
      <c r="A77" s="25"/>
      <c r="B77" s="25"/>
      <c r="C77" s="26" t="s">
        <v>145</v>
      </c>
      <c r="D77" s="25"/>
      <c r="E77" s="25" t="s">
        <v>146</v>
      </c>
      <c r="F77" s="36" t="s">
        <v>148</v>
      </c>
      <c r="G77" s="33">
        <v>0</v>
      </c>
      <c r="H77" s="24" t="s">
        <v>146</v>
      </c>
    </row>
    <row r="78" spans="1:8" x14ac:dyDescent="0.2">
      <c r="A78" s="25"/>
      <c r="B78" s="25"/>
      <c r="C78" s="34"/>
      <c r="D78" s="25"/>
      <c r="E78" s="25"/>
      <c r="F78" s="35"/>
      <c r="G78" s="35"/>
      <c r="H78" s="24" t="s">
        <v>146</v>
      </c>
    </row>
    <row r="79" spans="1:8" x14ac:dyDescent="0.2">
      <c r="A79" s="25"/>
      <c r="B79" s="25"/>
      <c r="C79" s="26" t="s">
        <v>161</v>
      </c>
      <c r="D79" s="25"/>
      <c r="E79" s="25"/>
      <c r="F79" s="35"/>
      <c r="G79" s="35"/>
      <c r="H79" s="24" t="s">
        <v>146</v>
      </c>
    </row>
    <row r="80" spans="1:8" x14ac:dyDescent="0.2">
      <c r="A80" s="25"/>
      <c r="B80" s="25"/>
      <c r="C80" s="26" t="s">
        <v>145</v>
      </c>
      <c r="D80" s="25"/>
      <c r="E80" s="25" t="s">
        <v>146</v>
      </c>
      <c r="F80" s="36" t="s">
        <v>148</v>
      </c>
      <c r="G80" s="33">
        <v>0</v>
      </c>
      <c r="H80" s="24" t="s">
        <v>146</v>
      </c>
    </row>
    <row r="81" spans="1:8" x14ac:dyDescent="0.2">
      <c r="A81" s="25"/>
      <c r="B81" s="25"/>
      <c r="C81" s="34"/>
      <c r="D81" s="25"/>
      <c r="E81" s="25"/>
      <c r="F81" s="35"/>
      <c r="G81" s="35"/>
      <c r="H81" s="24" t="s">
        <v>146</v>
      </c>
    </row>
    <row r="82" spans="1:8" x14ac:dyDescent="0.2">
      <c r="A82" s="25"/>
      <c r="B82" s="25"/>
      <c r="C82" s="26" t="s">
        <v>162</v>
      </c>
      <c r="D82" s="25"/>
      <c r="E82" s="25"/>
      <c r="F82" s="35"/>
      <c r="G82" s="35"/>
      <c r="H82" s="24" t="s">
        <v>146</v>
      </c>
    </row>
    <row r="83" spans="1:8" x14ac:dyDescent="0.2">
      <c r="A83" s="25"/>
      <c r="B83" s="25"/>
      <c r="C83" s="26" t="s">
        <v>145</v>
      </c>
      <c r="D83" s="25"/>
      <c r="E83" s="25" t="s">
        <v>146</v>
      </c>
      <c r="F83" s="36" t="s">
        <v>148</v>
      </c>
      <c r="G83" s="33">
        <v>0</v>
      </c>
      <c r="H83" s="24" t="s">
        <v>146</v>
      </c>
    </row>
    <row r="84" spans="1:8" x14ac:dyDescent="0.2">
      <c r="A84" s="25"/>
      <c r="B84" s="25"/>
      <c r="C84" s="34"/>
      <c r="D84" s="25"/>
      <c r="E84" s="25"/>
      <c r="F84" s="35"/>
      <c r="G84" s="35"/>
      <c r="H84" s="24" t="s">
        <v>146</v>
      </c>
    </row>
    <row r="85" spans="1:8" x14ac:dyDescent="0.2">
      <c r="A85" s="25"/>
      <c r="B85" s="25"/>
      <c r="C85" s="26" t="s">
        <v>163</v>
      </c>
      <c r="D85" s="25"/>
      <c r="E85" s="25"/>
      <c r="F85" s="35"/>
      <c r="G85" s="35"/>
      <c r="H85" s="24" t="s">
        <v>146</v>
      </c>
    </row>
    <row r="86" spans="1:8" x14ac:dyDescent="0.2">
      <c r="A86" s="27">
        <v>1</v>
      </c>
      <c r="B86" s="28"/>
      <c r="C86" s="28" t="s">
        <v>164</v>
      </c>
      <c r="D86" s="28"/>
      <c r="E86" s="38"/>
      <c r="F86" s="30">
        <v>138.063638</v>
      </c>
      <c r="G86" s="31">
        <v>3.8405139999999997E-2</v>
      </c>
      <c r="H86" s="24">
        <v>6.57</v>
      </c>
    </row>
    <row r="87" spans="1:8" x14ac:dyDescent="0.2">
      <c r="A87" s="25"/>
      <c r="B87" s="25"/>
      <c r="C87" s="26" t="s">
        <v>145</v>
      </c>
      <c r="D87" s="25"/>
      <c r="E87" s="25" t="s">
        <v>146</v>
      </c>
      <c r="F87" s="32">
        <v>138.063638</v>
      </c>
      <c r="G87" s="33">
        <v>3.8405139999999997E-2</v>
      </c>
      <c r="H87" s="24" t="s">
        <v>146</v>
      </c>
    </row>
    <row r="88" spans="1:8" x14ac:dyDescent="0.2">
      <c r="A88" s="25"/>
      <c r="B88" s="25"/>
      <c r="C88" s="34"/>
      <c r="D88" s="25"/>
      <c r="E88" s="25"/>
      <c r="F88" s="35"/>
      <c r="G88" s="35"/>
      <c r="H88" s="24" t="s">
        <v>146</v>
      </c>
    </row>
    <row r="89" spans="1:8" x14ac:dyDescent="0.2">
      <c r="A89" s="25"/>
      <c r="B89" s="25"/>
      <c r="C89" s="26" t="s">
        <v>165</v>
      </c>
      <c r="D89" s="25"/>
      <c r="E89" s="25"/>
      <c r="F89" s="32">
        <v>138.063638</v>
      </c>
      <c r="G89" s="33">
        <v>3.8405139999999997E-2</v>
      </c>
      <c r="H89" s="24" t="s">
        <v>146</v>
      </c>
    </row>
    <row r="90" spans="1:8" x14ac:dyDescent="0.2">
      <c r="A90" s="25"/>
      <c r="B90" s="25"/>
      <c r="C90" s="35"/>
      <c r="D90" s="25"/>
      <c r="E90" s="25"/>
      <c r="F90" s="25"/>
      <c r="G90" s="25"/>
      <c r="H90" s="24" t="s">
        <v>146</v>
      </c>
    </row>
    <row r="91" spans="1:8" x14ac:dyDescent="0.2">
      <c r="A91" s="25"/>
      <c r="B91" s="25"/>
      <c r="C91" s="26" t="s">
        <v>166</v>
      </c>
      <c r="D91" s="25"/>
      <c r="E91" s="25"/>
      <c r="F91" s="25"/>
      <c r="G91" s="25"/>
      <c r="H91" s="24" t="s">
        <v>146</v>
      </c>
    </row>
    <row r="92" spans="1:8" x14ac:dyDescent="0.2">
      <c r="A92" s="25"/>
      <c r="B92" s="25"/>
      <c r="C92" s="26" t="s">
        <v>167</v>
      </c>
      <c r="D92" s="25"/>
      <c r="E92" s="25"/>
      <c r="F92" s="25"/>
      <c r="G92" s="25"/>
      <c r="H92" s="24" t="s">
        <v>146</v>
      </c>
    </row>
    <row r="93" spans="1:8" x14ac:dyDescent="0.2">
      <c r="A93" s="25"/>
      <c r="B93" s="25"/>
      <c r="C93" s="26" t="s">
        <v>145</v>
      </c>
      <c r="D93" s="25"/>
      <c r="E93" s="25" t="s">
        <v>146</v>
      </c>
      <c r="F93" s="36" t="s">
        <v>148</v>
      </c>
      <c r="G93" s="33">
        <v>0</v>
      </c>
      <c r="H93" s="24" t="s">
        <v>146</v>
      </c>
    </row>
    <row r="94" spans="1:8" x14ac:dyDescent="0.2">
      <c r="A94" s="25"/>
      <c r="B94" s="25"/>
      <c r="C94" s="34"/>
      <c r="D94" s="25"/>
      <c r="E94" s="25"/>
      <c r="F94" s="35"/>
      <c r="G94" s="35"/>
      <c r="H94" s="24" t="s">
        <v>146</v>
      </c>
    </row>
    <row r="95" spans="1:8" x14ac:dyDescent="0.2">
      <c r="A95" s="25"/>
      <c r="B95" s="25"/>
      <c r="C95" s="26" t="s">
        <v>168</v>
      </c>
      <c r="D95" s="25"/>
      <c r="E95" s="25"/>
      <c r="F95" s="25"/>
      <c r="G95" s="25"/>
      <c r="H95" s="24" t="s">
        <v>146</v>
      </c>
    </row>
    <row r="96" spans="1:8" x14ac:dyDescent="0.2">
      <c r="A96" s="25"/>
      <c r="B96" s="25"/>
      <c r="C96" s="26" t="s">
        <v>169</v>
      </c>
      <c r="D96" s="25"/>
      <c r="E96" s="25"/>
      <c r="F96" s="25"/>
      <c r="G96" s="25"/>
      <c r="H96" s="24" t="s">
        <v>146</v>
      </c>
    </row>
    <row r="97" spans="1:17" x14ac:dyDescent="0.2">
      <c r="A97" s="25"/>
      <c r="B97" s="25"/>
      <c r="C97" s="26" t="s">
        <v>145</v>
      </c>
      <c r="D97" s="25"/>
      <c r="E97" s="25" t="s">
        <v>146</v>
      </c>
      <c r="F97" s="36" t="s">
        <v>148</v>
      </c>
      <c r="G97" s="33">
        <v>0</v>
      </c>
      <c r="H97" s="24" t="s">
        <v>146</v>
      </c>
    </row>
    <row r="98" spans="1:17" x14ac:dyDescent="0.2">
      <c r="A98" s="25"/>
      <c r="B98" s="25"/>
      <c r="C98" s="34"/>
      <c r="D98" s="25"/>
      <c r="E98" s="25"/>
      <c r="F98" s="35"/>
      <c r="G98" s="35"/>
      <c r="H98" s="24" t="s">
        <v>146</v>
      </c>
    </row>
    <row r="99" spans="1:17" x14ac:dyDescent="0.2">
      <c r="A99" s="25"/>
      <c r="B99" s="25"/>
      <c r="C99" s="26" t="s">
        <v>170</v>
      </c>
      <c r="D99" s="25"/>
      <c r="E99" s="25"/>
      <c r="F99" s="35"/>
      <c r="G99" s="35"/>
      <c r="H99" s="24" t="s">
        <v>146</v>
      </c>
    </row>
    <row r="100" spans="1:17" x14ac:dyDescent="0.2">
      <c r="A100" s="25"/>
      <c r="B100" s="25"/>
      <c r="C100" s="26" t="s">
        <v>145</v>
      </c>
      <c r="D100" s="25"/>
      <c r="E100" s="25" t="s">
        <v>146</v>
      </c>
      <c r="F100" s="36" t="s">
        <v>148</v>
      </c>
      <c r="G100" s="33">
        <v>0</v>
      </c>
      <c r="H100" s="24" t="s">
        <v>146</v>
      </c>
    </row>
    <row r="101" spans="1:17" x14ac:dyDescent="0.2">
      <c r="A101" s="25"/>
      <c r="B101" s="25"/>
      <c r="C101" s="34"/>
      <c r="D101" s="25"/>
      <c r="E101" s="25"/>
      <c r="F101" s="35"/>
      <c r="G101" s="35"/>
      <c r="H101" s="24" t="s">
        <v>146</v>
      </c>
    </row>
    <row r="102" spans="1:17" x14ac:dyDescent="0.2">
      <c r="A102" s="25"/>
      <c r="B102" s="28"/>
      <c r="C102" s="28"/>
      <c r="D102" s="26"/>
      <c r="E102" s="25"/>
      <c r="F102" s="28"/>
      <c r="G102" s="38"/>
      <c r="H102" s="24" t="s">
        <v>146</v>
      </c>
    </row>
    <row r="103" spans="1:17" x14ac:dyDescent="0.2">
      <c r="A103" s="38"/>
      <c r="B103" s="28"/>
      <c r="C103" s="28" t="s">
        <v>171</v>
      </c>
      <c r="D103" s="28"/>
      <c r="E103" s="38"/>
      <c r="F103" s="30">
        <v>-2.26433565</v>
      </c>
      <c r="G103" s="31">
        <v>-6.2987000000000004E-4</v>
      </c>
      <c r="H103" s="24" t="s">
        <v>146</v>
      </c>
    </row>
    <row r="104" spans="1:17" x14ac:dyDescent="0.2">
      <c r="A104" s="34"/>
      <c r="B104" s="34"/>
      <c r="C104" s="26" t="s">
        <v>172</v>
      </c>
      <c r="D104" s="35"/>
      <c r="E104" s="35"/>
      <c r="F104" s="32">
        <v>3594.92606295</v>
      </c>
      <c r="G104" s="39">
        <v>1.0000000099999999</v>
      </c>
      <c r="H104" s="24" t="s">
        <v>146</v>
      </c>
    </row>
    <row r="105" spans="1:17" x14ac:dyDescent="0.2">
      <c r="A105" s="40"/>
      <c r="B105" s="40"/>
      <c r="C105" s="40"/>
      <c r="D105" s="41"/>
      <c r="E105" s="41"/>
      <c r="F105" s="41"/>
      <c r="G105" s="41"/>
    </row>
    <row r="106" spans="1:17" x14ac:dyDescent="0.2">
      <c r="A106" s="42"/>
      <c r="B106" s="236" t="s">
        <v>858</v>
      </c>
      <c r="C106" s="236"/>
      <c r="D106" s="236"/>
      <c r="E106" s="236"/>
      <c r="F106" s="236"/>
      <c r="G106" s="236"/>
      <c r="H106" s="236"/>
      <c r="J106" s="44"/>
    </row>
    <row r="107" spans="1:17" x14ac:dyDescent="0.2">
      <c r="A107" s="42"/>
      <c r="B107" s="236" t="s">
        <v>859</v>
      </c>
      <c r="C107" s="236"/>
      <c r="D107" s="236"/>
      <c r="E107" s="236"/>
      <c r="F107" s="236"/>
      <c r="G107" s="236"/>
      <c r="H107" s="236"/>
      <c r="J107" s="44"/>
    </row>
    <row r="108" spans="1:17" x14ac:dyDescent="0.2">
      <c r="A108" s="42"/>
      <c r="B108" s="236" t="s">
        <v>860</v>
      </c>
      <c r="C108" s="236"/>
      <c r="D108" s="236"/>
      <c r="E108" s="236"/>
      <c r="F108" s="236"/>
      <c r="G108" s="236"/>
      <c r="H108" s="236"/>
      <c r="J108" s="44"/>
    </row>
    <row r="109" spans="1:17" s="46" customFormat="1" ht="66.75" customHeight="1" x14ac:dyDescent="0.25">
      <c r="A109" s="45"/>
      <c r="B109" s="237" t="s">
        <v>861</v>
      </c>
      <c r="C109" s="237"/>
      <c r="D109" s="237"/>
      <c r="E109" s="237"/>
      <c r="F109" s="237"/>
      <c r="G109" s="237"/>
      <c r="H109" s="237"/>
      <c r="I109"/>
      <c r="J109" s="44"/>
      <c r="K109"/>
      <c r="L109"/>
      <c r="M109"/>
      <c r="N109"/>
      <c r="O109"/>
      <c r="P109"/>
      <c r="Q109"/>
    </row>
    <row r="110" spans="1:17" x14ac:dyDescent="0.2">
      <c r="A110" s="42"/>
      <c r="B110" s="236" t="s">
        <v>862</v>
      </c>
      <c r="C110" s="236"/>
      <c r="D110" s="236"/>
      <c r="E110" s="236"/>
      <c r="F110" s="236"/>
      <c r="G110" s="236"/>
      <c r="H110" s="236"/>
      <c r="J110" s="44"/>
    </row>
    <row r="111" spans="1:17" x14ac:dyDescent="0.2">
      <c r="A111" s="47"/>
      <c r="B111" s="47"/>
      <c r="C111" s="47"/>
      <c r="D111" s="48"/>
      <c r="E111" s="48"/>
      <c r="F111" s="48"/>
      <c r="G111" s="48"/>
    </row>
    <row r="112" spans="1:17" x14ac:dyDescent="0.2">
      <c r="A112" s="47"/>
      <c r="B112" s="233" t="s">
        <v>173</v>
      </c>
      <c r="C112" s="234"/>
      <c r="D112" s="235"/>
      <c r="E112" s="49"/>
      <c r="F112" s="48"/>
      <c r="G112" s="48"/>
    </row>
    <row r="113" spans="1:10" ht="25.5" customHeight="1" x14ac:dyDescent="0.2">
      <c r="A113" s="47"/>
      <c r="B113" s="231" t="s">
        <v>174</v>
      </c>
      <c r="C113" s="232"/>
      <c r="D113" s="26" t="s">
        <v>175</v>
      </c>
      <c r="E113" s="49"/>
      <c r="F113" s="48"/>
      <c r="G113" s="48"/>
    </row>
    <row r="114" spans="1:10" ht="12.75" customHeight="1" x14ac:dyDescent="0.2">
      <c r="A114" s="42"/>
      <c r="B114" s="227" t="s">
        <v>863</v>
      </c>
      <c r="C114" s="228"/>
      <c r="D114" s="50" t="s">
        <v>175</v>
      </c>
      <c r="E114" s="51"/>
      <c r="F114" s="52"/>
      <c r="G114" s="52"/>
    </row>
    <row r="115" spans="1:10" x14ac:dyDescent="0.2">
      <c r="A115" s="47"/>
      <c r="B115" s="231" t="s">
        <v>176</v>
      </c>
      <c r="C115" s="232"/>
      <c r="D115" s="35" t="s">
        <v>146</v>
      </c>
      <c r="E115" s="49"/>
      <c r="F115" s="48"/>
      <c r="G115" s="48"/>
    </row>
    <row r="116" spans="1:10" x14ac:dyDescent="0.2">
      <c r="A116" s="53"/>
      <c r="B116" s="54" t="s">
        <v>146</v>
      </c>
      <c r="C116" s="54" t="s">
        <v>864</v>
      </c>
      <c r="D116" s="54" t="s">
        <v>177</v>
      </c>
      <c r="E116" s="53"/>
      <c r="F116" s="53"/>
      <c r="G116" s="53"/>
      <c r="J116" s="44"/>
    </row>
    <row r="117" spans="1:10" x14ac:dyDescent="0.2">
      <c r="A117" s="53"/>
      <c r="B117" s="55" t="s">
        <v>178</v>
      </c>
      <c r="C117" s="56">
        <v>45657</v>
      </c>
      <c r="D117" s="56">
        <v>45688</v>
      </c>
      <c r="E117" s="53"/>
      <c r="F117" s="53"/>
      <c r="G117" s="53"/>
      <c r="J117" s="44"/>
    </row>
    <row r="118" spans="1:10" x14ac:dyDescent="0.2">
      <c r="A118" s="57"/>
      <c r="B118" s="28" t="s">
        <v>179</v>
      </c>
      <c r="C118" s="58">
        <v>27.731200000000001</v>
      </c>
      <c r="D118" s="58">
        <v>25.966999999999999</v>
      </c>
      <c r="E118" s="57"/>
      <c r="F118" s="59"/>
      <c r="G118" s="60"/>
    </row>
    <row r="119" spans="1:10" x14ac:dyDescent="0.2">
      <c r="A119" s="57"/>
      <c r="B119" s="28" t="s">
        <v>1025</v>
      </c>
      <c r="C119" s="58">
        <v>26.8399</v>
      </c>
      <c r="D119" s="58">
        <v>25.132300000000001</v>
      </c>
      <c r="E119" s="57"/>
      <c r="F119" s="59"/>
      <c r="G119" s="60"/>
    </row>
    <row r="120" spans="1:10" x14ac:dyDescent="0.2">
      <c r="A120" s="57"/>
      <c r="B120" s="28" t="s">
        <v>180</v>
      </c>
      <c r="C120" s="58">
        <v>26.4895</v>
      </c>
      <c r="D120" s="58">
        <v>24.799199999999999</v>
      </c>
      <c r="E120" s="57"/>
      <c r="F120" s="59"/>
      <c r="G120" s="60"/>
    </row>
    <row r="121" spans="1:10" x14ac:dyDescent="0.2">
      <c r="A121" s="57"/>
      <c r="B121" s="28" t="s">
        <v>1026</v>
      </c>
      <c r="C121" s="58">
        <v>25.6004</v>
      </c>
      <c r="D121" s="58">
        <v>23.966799999999999</v>
      </c>
      <c r="E121" s="57"/>
      <c r="F121" s="59"/>
      <c r="G121" s="60"/>
    </row>
    <row r="122" spans="1:10" x14ac:dyDescent="0.2">
      <c r="A122" s="57"/>
      <c r="B122" s="57"/>
      <c r="C122" s="57"/>
      <c r="D122" s="57"/>
      <c r="E122" s="57"/>
      <c r="F122" s="57"/>
      <c r="G122" s="57"/>
    </row>
    <row r="123" spans="1:10" x14ac:dyDescent="0.2">
      <c r="A123" s="53"/>
      <c r="B123" s="227" t="s">
        <v>865</v>
      </c>
      <c r="C123" s="228"/>
      <c r="D123" s="50" t="s">
        <v>175</v>
      </c>
      <c r="E123" s="53"/>
      <c r="F123" s="53"/>
      <c r="G123" s="53"/>
    </row>
    <row r="124" spans="1:10" x14ac:dyDescent="0.2">
      <c r="A124" s="53"/>
      <c r="B124" s="74"/>
      <c r="C124" s="74"/>
      <c r="D124" s="74"/>
      <c r="E124" s="53"/>
      <c r="F124" s="53"/>
      <c r="G124" s="53"/>
    </row>
    <row r="125" spans="1:10" x14ac:dyDescent="0.2">
      <c r="A125" s="53"/>
      <c r="B125" s="227" t="s">
        <v>181</v>
      </c>
      <c r="C125" s="228"/>
      <c r="D125" s="50" t="s">
        <v>175</v>
      </c>
      <c r="E125" s="64"/>
      <c r="F125" s="53"/>
      <c r="G125" s="53"/>
    </row>
    <row r="126" spans="1:10" x14ac:dyDescent="0.2">
      <c r="A126" s="53"/>
      <c r="B126" s="227" t="s">
        <v>182</v>
      </c>
      <c r="C126" s="228"/>
      <c r="D126" s="50" t="s">
        <v>175</v>
      </c>
      <c r="E126" s="64"/>
      <c r="F126" s="53"/>
      <c r="G126" s="53"/>
    </row>
    <row r="127" spans="1:10" x14ac:dyDescent="0.2">
      <c r="A127" s="53"/>
      <c r="B127" s="227" t="s">
        <v>183</v>
      </c>
      <c r="C127" s="228"/>
      <c r="D127" s="50" t="s">
        <v>175</v>
      </c>
      <c r="E127" s="64"/>
      <c r="F127" s="53"/>
      <c r="G127" s="53"/>
    </row>
    <row r="128" spans="1:10" x14ac:dyDescent="0.2">
      <c r="A128" s="53"/>
      <c r="B128" s="227" t="s">
        <v>184</v>
      </c>
      <c r="C128" s="228"/>
      <c r="D128" s="65">
        <v>0.31353489662858536</v>
      </c>
      <c r="E128" s="53"/>
      <c r="F128" s="43"/>
      <c r="G128" s="63"/>
    </row>
    <row r="130" spans="2:10" x14ac:dyDescent="0.2">
      <c r="B130" s="229" t="s">
        <v>866</v>
      </c>
      <c r="C130" s="229"/>
    </row>
    <row r="132" spans="2:10" ht="153.75" customHeight="1" x14ac:dyDescent="0.2"/>
    <row r="135" spans="2:10" x14ac:dyDescent="0.2">
      <c r="B135" s="66" t="s">
        <v>867</v>
      </c>
      <c r="C135" s="67"/>
      <c r="D135" s="66"/>
    </row>
    <row r="136" spans="2:10" x14ac:dyDescent="0.2">
      <c r="B136" s="66" t="s">
        <v>881</v>
      </c>
      <c r="D136" s="66"/>
    </row>
    <row r="137" spans="2:10" ht="165" customHeight="1" x14ac:dyDescent="0.2"/>
    <row r="138" spans="2:10" x14ac:dyDescent="0.2">
      <c r="J138" s="21"/>
    </row>
  </sheetData>
  <mergeCells count="18">
    <mergeCell ref="A1:H1"/>
    <mergeCell ref="A2:H2"/>
    <mergeCell ref="A3:H3"/>
    <mergeCell ref="B114:C114"/>
    <mergeCell ref="B115:C115"/>
    <mergeCell ref="B112:D112"/>
    <mergeCell ref="B113:C113"/>
    <mergeCell ref="B106:H106"/>
    <mergeCell ref="B107:H107"/>
    <mergeCell ref="B108:H108"/>
    <mergeCell ref="B109:H109"/>
    <mergeCell ref="B110:H110"/>
    <mergeCell ref="B125:C125"/>
    <mergeCell ref="B126:C126"/>
    <mergeCell ref="B130:C130"/>
    <mergeCell ref="B123:C123"/>
    <mergeCell ref="B127:C127"/>
    <mergeCell ref="B128:C128"/>
  </mergeCells>
  <hyperlinks>
    <hyperlink ref="I1" location="Index!B2" display="Index" xr:uid="{28696889-43DB-4545-926F-5A88EF2CAE7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9B836-D8CF-4851-8197-03B04C07EF26}">
  <sheetPr>
    <outlinePr summaryBelow="0" summaryRight="0"/>
  </sheetPr>
  <dimension ref="A1:Q182"/>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9"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462</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379</v>
      </c>
      <c r="C7" s="28" t="s">
        <v>380</v>
      </c>
      <c r="D7" s="28" t="s">
        <v>39</v>
      </c>
      <c r="E7" s="29">
        <v>361386</v>
      </c>
      <c r="F7" s="30">
        <v>8709.4025999999994</v>
      </c>
      <c r="G7" s="31">
        <v>2.7493690000000001E-2</v>
      </c>
      <c r="H7" s="24" t="s">
        <v>146</v>
      </c>
    </row>
    <row r="8" spans="1:9" x14ac:dyDescent="0.2">
      <c r="A8" s="27">
        <v>2</v>
      </c>
      <c r="B8" s="28" t="s">
        <v>377</v>
      </c>
      <c r="C8" s="28" t="s">
        <v>378</v>
      </c>
      <c r="D8" s="28" t="s">
        <v>208</v>
      </c>
      <c r="E8" s="29">
        <v>1754705</v>
      </c>
      <c r="F8" s="30">
        <v>8625.2524274999996</v>
      </c>
      <c r="G8" s="31">
        <v>2.722805E-2</v>
      </c>
      <c r="H8" s="24" t="s">
        <v>146</v>
      </c>
    </row>
    <row r="9" spans="1:9" x14ac:dyDescent="0.2">
      <c r="A9" s="27">
        <v>3</v>
      </c>
      <c r="B9" s="28" t="s">
        <v>352</v>
      </c>
      <c r="C9" s="28" t="s">
        <v>353</v>
      </c>
      <c r="D9" s="28" t="s">
        <v>354</v>
      </c>
      <c r="E9" s="29">
        <v>490718</v>
      </c>
      <c r="F9" s="30">
        <v>7399.7820810000003</v>
      </c>
      <c r="G9" s="31">
        <v>2.3359499999999998E-2</v>
      </c>
      <c r="H9" s="24" t="s">
        <v>146</v>
      </c>
    </row>
    <row r="10" spans="1:9" x14ac:dyDescent="0.2">
      <c r="A10" s="27">
        <v>4</v>
      </c>
      <c r="B10" s="28" t="s">
        <v>317</v>
      </c>
      <c r="C10" s="28" t="s">
        <v>318</v>
      </c>
      <c r="D10" s="28" t="s">
        <v>120</v>
      </c>
      <c r="E10" s="29">
        <v>483211</v>
      </c>
      <c r="F10" s="30">
        <v>7339.0086680000004</v>
      </c>
      <c r="G10" s="31">
        <v>2.316766E-2</v>
      </c>
      <c r="H10" s="24" t="s">
        <v>146</v>
      </c>
    </row>
    <row r="11" spans="1:9" x14ac:dyDescent="0.2">
      <c r="A11" s="27">
        <v>5</v>
      </c>
      <c r="B11" s="28" t="s">
        <v>133</v>
      </c>
      <c r="C11" s="28" t="s">
        <v>134</v>
      </c>
      <c r="D11" s="28" t="s">
        <v>39</v>
      </c>
      <c r="E11" s="29">
        <v>2082801</v>
      </c>
      <c r="F11" s="30">
        <v>7258.5614850000002</v>
      </c>
      <c r="G11" s="31">
        <v>2.2913699999999999E-2</v>
      </c>
      <c r="H11" s="24" t="s">
        <v>146</v>
      </c>
    </row>
    <row r="12" spans="1:9" x14ac:dyDescent="0.2">
      <c r="A12" s="27">
        <v>6</v>
      </c>
      <c r="B12" s="28" t="s">
        <v>383</v>
      </c>
      <c r="C12" s="28" t="s">
        <v>384</v>
      </c>
      <c r="D12" s="28" t="s">
        <v>195</v>
      </c>
      <c r="E12" s="29">
        <v>1031166</v>
      </c>
      <c r="F12" s="30">
        <v>7209.3970890000001</v>
      </c>
      <c r="G12" s="31">
        <v>2.2758500000000001E-2</v>
      </c>
      <c r="H12" s="24" t="s">
        <v>146</v>
      </c>
    </row>
    <row r="13" spans="1:9" x14ac:dyDescent="0.2">
      <c r="A13" s="27">
        <v>7</v>
      </c>
      <c r="B13" s="28" t="s">
        <v>389</v>
      </c>
      <c r="C13" s="28" t="s">
        <v>390</v>
      </c>
      <c r="D13" s="28" t="s">
        <v>33</v>
      </c>
      <c r="E13" s="29">
        <v>18825767</v>
      </c>
      <c r="F13" s="30">
        <v>6762.2155063999999</v>
      </c>
      <c r="G13" s="31">
        <v>2.1346850000000001E-2</v>
      </c>
      <c r="H13" s="24" t="s">
        <v>146</v>
      </c>
    </row>
    <row r="14" spans="1:9" ht="25.5" x14ac:dyDescent="0.2">
      <c r="A14" s="27">
        <v>8</v>
      </c>
      <c r="B14" s="28" t="s">
        <v>301</v>
      </c>
      <c r="C14" s="28" t="s">
        <v>302</v>
      </c>
      <c r="D14" s="28" t="s">
        <v>258</v>
      </c>
      <c r="E14" s="29">
        <v>161159</v>
      </c>
      <c r="F14" s="30">
        <v>6686.0034329999999</v>
      </c>
      <c r="G14" s="31">
        <v>2.1106260000000002E-2</v>
      </c>
      <c r="H14" s="24" t="s">
        <v>146</v>
      </c>
    </row>
    <row r="15" spans="1:9" x14ac:dyDescent="0.2">
      <c r="A15" s="27">
        <v>9</v>
      </c>
      <c r="B15" s="28" t="s">
        <v>463</v>
      </c>
      <c r="C15" s="28" t="s">
        <v>464</v>
      </c>
      <c r="D15" s="28" t="s">
        <v>120</v>
      </c>
      <c r="E15" s="29">
        <v>759818</v>
      </c>
      <c r="F15" s="30">
        <v>6672.7216760000001</v>
      </c>
      <c r="G15" s="31">
        <v>2.1064329999999999E-2</v>
      </c>
      <c r="H15" s="24" t="s">
        <v>146</v>
      </c>
    </row>
    <row r="16" spans="1:9" x14ac:dyDescent="0.2">
      <c r="A16" s="27">
        <v>10</v>
      </c>
      <c r="B16" s="28" t="s">
        <v>67</v>
      </c>
      <c r="C16" s="28" t="s">
        <v>68</v>
      </c>
      <c r="D16" s="28" t="s">
        <v>42</v>
      </c>
      <c r="E16" s="29">
        <v>936780</v>
      </c>
      <c r="F16" s="30">
        <v>6581.34789</v>
      </c>
      <c r="G16" s="31">
        <v>2.0775890000000002E-2</v>
      </c>
      <c r="H16" s="24" t="s">
        <v>146</v>
      </c>
    </row>
    <row r="17" spans="1:8" ht="25.5" x14ac:dyDescent="0.2">
      <c r="A17" s="27">
        <v>11</v>
      </c>
      <c r="B17" s="28" t="s">
        <v>465</v>
      </c>
      <c r="C17" s="28" t="s">
        <v>466</v>
      </c>
      <c r="D17" s="28" t="s">
        <v>190</v>
      </c>
      <c r="E17" s="29">
        <v>787577</v>
      </c>
      <c r="F17" s="30">
        <v>6457.3438230000002</v>
      </c>
      <c r="G17" s="31">
        <v>2.0384429999999999E-2</v>
      </c>
      <c r="H17" s="24" t="s">
        <v>146</v>
      </c>
    </row>
    <row r="18" spans="1:8" x14ac:dyDescent="0.2">
      <c r="A18" s="27">
        <v>12</v>
      </c>
      <c r="B18" s="28" t="s">
        <v>467</v>
      </c>
      <c r="C18" s="28" t="s">
        <v>468</v>
      </c>
      <c r="D18" s="28" t="s">
        <v>30</v>
      </c>
      <c r="E18" s="29">
        <v>388216</v>
      </c>
      <c r="F18" s="30">
        <v>6305.0160560000004</v>
      </c>
      <c r="G18" s="31">
        <v>1.9903569999999999E-2</v>
      </c>
      <c r="H18" s="24" t="s">
        <v>146</v>
      </c>
    </row>
    <row r="19" spans="1:8" x14ac:dyDescent="0.2">
      <c r="A19" s="27">
        <v>13</v>
      </c>
      <c r="B19" s="28" t="s">
        <v>387</v>
      </c>
      <c r="C19" s="28" t="s">
        <v>388</v>
      </c>
      <c r="D19" s="28" t="s">
        <v>33</v>
      </c>
      <c r="E19" s="29">
        <v>9377207</v>
      </c>
      <c r="F19" s="30">
        <v>6235.8426550000004</v>
      </c>
      <c r="G19" s="31">
        <v>1.96852E-2</v>
      </c>
      <c r="H19" s="24" t="s">
        <v>146</v>
      </c>
    </row>
    <row r="20" spans="1:8" ht="25.5" x14ac:dyDescent="0.2">
      <c r="A20" s="27">
        <v>14</v>
      </c>
      <c r="B20" s="28" t="s">
        <v>469</v>
      </c>
      <c r="C20" s="28" t="s">
        <v>470</v>
      </c>
      <c r="D20" s="28" t="s">
        <v>218</v>
      </c>
      <c r="E20" s="29">
        <v>1183338</v>
      </c>
      <c r="F20" s="30">
        <v>5766.9977429999999</v>
      </c>
      <c r="G20" s="31">
        <v>1.8205160000000001E-2</v>
      </c>
      <c r="H20" s="24" t="s">
        <v>146</v>
      </c>
    </row>
    <row r="21" spans="1:8" x14ac:dyDescent="0.2">
      <c r="A21" s="27">
        <v>15</v>
      </c>
      <c r="B21" s="28" t="s">
        <v>45</v>
      </c>
      <c r="C21" s="28" t="s">
        <v>46</v>
      </c>
      <c r="D21" s="28" t="s">
        <v>47</v>
      </c>
      <c r="E21" s="29">
        <v>476538</v>
      </c>
      <c r="F21" s="30">
        <v>5580.4982490000002</v>
      </c>
      <c r="G21" s="31">
        <v>1.7616420000000001E-2</v>
      </c>
      <c r="H21" s="24" t="s">
        <v>146</v>
      </c>
    </row>
    <row r="22" spans="1:8" x14ac:dyDescent="0.2">
      <c r="A22" s="27">
        <v>16</v>
      </c>
      <c r="B22" s="28" t="s">
        <v>413</v>
      </c>
      <c r="C22" s="28" t="s">
        <v>414</v>
      </c>
      <c r="D22" s="28" t="s">
        <v>223</v>
      </c>
      <c r="E22" s="29">
        <v>762252</v>
      </c>
      <c r="F22" s="30">
        <v>5532.8061420000004</v>
      </c>
      <c r="G22" s="31">
        <v>1.7465870000000001E-2</v>
      </c>
      <c r="H22" s="24" t="s">
        <v>146</v>
      </c>
    </row>
    <row r="23" spans="1:8" x14ac:dyDescent="0.2">
      <c r="A23" s="27">
        <v>17</v>
      </c>
      <c r="B23" s="28" t="s">
        <v>92</v>
      </c>
      <c r="C23" s="28" t="s">
        <v>93</v>
      </c>
      <c r="D23" s="28" t="s">
        <v>83</v>
      </c>
      <c r="E23" s="29">
        <v>124724</v>
      </c>
      <c r="F23" s="30">
        <v>5209.9709279999997</v>
      </c>
      <c r="G23" s="31">
        <v>1.644675E-2</v>
      </c>
      <c r="H23" s="24" t="s">
        <v>146</v>
      </c>
    </row>
    <row r="24" spans="1:8" ht="25.5" x14ac:dyDescent="0.2">
      <c r="A24" s="27">
        <v>18</v>
      </c>
      <c r="B24" s="28" t="s">
        <v>471</v>
      </c>
      <c r="C24" s="28" t="s">
        <v>472</v>
      </c>
      <c r="D24" s="28" t="s">
        <v>198</v>
      </c>
      <c r="E24" s="29">
        <v>36796</v>
      </c>
      <c r="F24" s="30">
        <v>5196.8278659999996</v>
      </c>
      <c r="G24" s="31">
        <v>1.6405260000000001E-2</v>
      </c>
      <c r="H24" s="24" t="s">
        <v>146</v>
      </c>
    </row>
    <row r="25" spans="1:8" x14ac:dyDescent="0.2">
      <c r="A25" s="27">
        <v>19</v>
      </c>
      <c r="B25" s="28" t="s">
        <v>248</v>
      </c>
      <c r="C25" s="28" t="s">
        <v>249</v>
      </c>
      <c r="D25" s="28" t="s">
        <v>223</v>
      </c>
      <c r="E25" s="29">
        <v>669376</v>
      </c>
      <c r="F25" s="30">
        <v>5160.5542720000003</v>
      </c>
      <c r="G25" s="31">
        <v>1.629075E-2</v>
      </c>
      <c r="H25" s="24" t="s">
        <v>146</v>
      </c>
    </row>
    <row r="26" spans="1:8" x14ac:dyDescent="0.2">
      <c r="A26" s="27">
        <v>20</v>
      </c>
      <c r="B26" s="28" t="s">
        <v>81</v>
      </c>
      <c r="C26" s="28" t="s">
        <v>82</v>
      </c>
      <c r="D26" s="28" t="s">
        <v>83</v>
      </c>
      <c r="E26" s="29">
        <v>522356</v>
      </c>
      <c r="F26" s="30">
        <v>5160.0937459999996</v>
      </c>
      <c r="G26" s="31">
        <v>1.62893E-2</v>
      </c>
      <c r="H26" s="24" t="s">
        <v>146</v>
      </c>
    </row>
    <row r="27" spans="1:8" x14ac:dyDescent="0.2">
      <c r="A27" s="27">
        <v>21</v>
      </c>
      <c r="B27" s="28" t="s">
        <v>86</v>
      </c>
      <c r="C27" s="28" t="s">
        <v>87</v>
      </c>
      <c r="D27" s="28" t="s">
        <v>47</v>
      </c>
      <c r="E27" s="29">
        <v>383979</v>
      </c>
      <c r="F27" s="30">
        <v>5090.7935820000002</v>
      </c>
      <c r="G27" s="31">
        <v>1.607053E-2</v>
      </c>
      <c r="H27" s="24" t="s">
        <v>146</v>
      </c>
    </row>
    <row r="28" spans="1:8" x14ac:dyDescent="0.2">
      <c r="A28" s="27">
        <v>22</v>
      </c>
      <c r="B28" s="28" t="s">
        <v>411</v>
      </c>
      <c r="C28" s="28" t="s">
        <v>412</v>
      </c>
      <c r="D28" s="28" t="s">
        <v>42</v>
      </c>
      <c r="E28" s="29">
        <v>1005408</v>
      </c>
      <c r="F28" s="30">
        <v>4750.5528000000004</v>
      </c>
      <c r="G28" s="31">
        <v>1.499646E-2</v>
      </c>
      <c r="H28" s="24" t="s">
        <v>146</v>
      </c>
    </row>
    <row r="29" spans="1:8" x14ac:dyDescent="0.2">
      <c r="A29" s="27">
        <v>23</v>
      </c>
      <c r="B29" s="28" t="s">
        <v>385</v>
      </c>
      <c r="C29" s="28" t="s">
        <v>386</v>
      </c>
      <c r="D29" s="28" t="s">
        <v>33</v>
      </c>
      <c r="E29" s="29">
        <v>1535716</v>
      </c>
      <c r="F29" s="30">
        <v>4700.8266759999997</v>
      </c>
      <c r="G29" s="31">
        <v>1.483949E-2</v>
      </c>
      <c r="H29" s="24" t="s">
        <v>146</v>
      </c>
    </row>
    <row r="30" spans="1:8" x14ac:dyDescent="0.2">
      <c r="A30" s="27">
        <v>24</v>
      </c>
      <c r="B30" s="28" t="s">
        <v>295</v>
      </c>
      <c r="C30" s="28" t="s">
        <v>296</v>
      </c>
      <c r="D30" s="28" t="s">
        <v>99</v>
      </c>
      <c r="E30" s="29">
        <v>1334878</v>
      </c>
      <c r="F30" s="30">
        <v>4614.6732460000003</v>
      </c>
      <c r="G30" s="31">
        <v>1.456752E-2</v>
      </c>
      <c r="H30" s="24" t="s">
        <v>146</v>
      </c>
    </row>
    <row r="31" spans="1:8" x14ac:dyDescent="0.2">
      <c r="A31" s="27">
        <v>25</v>
      </c>
      <c r="B31" s="28" t="s">
        <v>473</v>
      </c>
      <c r="C31" s="28" t="s">
        <v>474</v>
      </c>
      <c r="D31" s="28" t="s">
        <v>208</v>
      </c>
      <c r="E31" s="29">
        <v>81838</v>
      </c>
      <c r="F31" s="30">
        <v>4485.9908889999997</v>
      </c>
      <c r="G31" s="31">
        <v>1.41613E-2</v>
      </c>
      <c r="H31" s="24" t="s">
        <v>146</v>
      </c>
    </row>
    <row r="32" spans="1:8" x14ac:dyDescent="0.2">
      <c r="A32" s="27">
        <v>26</v>
      </c>
      <c r="B32" s="28" t="s">
        <v>475</v>
      </c>
      <c r="C32" s="28" t="s">
        <v>476</v>
      </c>
      <c r="D32" s="28" t="s">
        <v>33</v>
      </c>
      <c r="E32" s="29">
        <v>3754816</v>
      </c>
      <c r="F32" s="30">
        <v>4479.8709695999996</v>
      </c>
      <c r="G32" s="31">
        <v>1.414198E-2</v>
      </c>
      <c r="H32" s="24" t="s">
        <v>146</v>
      </c>
    </row>
    <row r="33" spans="1:8" x14ac:dyDescent="0.2">
      <c r="A33" s="27">
        <v>27</v>
      </c>
      <c r="B33" s="28" t="s">
        <v>52</v>
      </c>
      <c r="C33" s="28" t="s">
        <v>53</v>
      </c>
      <c r="D33" s="28" t="s">
        <v>42</v>
      </c>
      <c r="E33" s="29">
        <v>109368</v>
      </c>
      <c r="F33" s="30">
        <v>4400.5308480000003</v>
      </c>
      <c r="G33" s="31">
        <v>1.3891519999999999E-2</v>
      </c>
      <c r="H33" s="24" t="s">
        <v>146</v>
      </c>
    </row>
    <row r="34" spans="1:8" ht="25.5" x14ac:dyDescent="0.2">
      <c r="A34" s="27">
        <v>28</v>
      </c>
      <c r="B34" s="28" t="s">
        <v>73</v>
      </c>
      <c r="C34" s="28" t="s">
        <v>74</v>
      </c>
      <c r="D34" s="28" t="s">
        <v>75</v>
      </c>
      <c r="E34" s="29">
        <v>390188</v>
      </c>
      <c r="F34" s="30">
        <v>4289.5317779999996</v>
      </c>
      <c r="G34" s="31">
        <v>1.354112E-2</v>
      </c>
      <c r="H34" s="24" t="s">
        <v>146</v>
      </c>
    </row>
    <row r="35" spans="1:8" x14ac:dyDescent="0.2">
      <c r="A35" s="27">
        <v>29</v>
      </c>
      <c r="B35" s="28" t="s">
        <v>11</v>
      </c>
      <c r="C35" s="28" t="s">
        <v>12</v>
      </c>
      <c r="D35" s="28" t="s">
        <v>13</v>
      </c>
      <c r="E35" s="29">
        <v>119155</v>
      </c>
      <c r="F35" s="30">
        <v>4250.7354699999996</v>
      </c>
      <c r="G35" s="31">
        <v>1.3418650000000001E-2</v>
      </c>
      <c r="H35" s="24" t="s">
        <v>146</v>
      </c>
    </row>
    <row r="36" spans="1:8" ht="25.5" x14ac:dyDescent="0.2">
      <c r="A36" s="27">
        <v>30</v>
      </c>
      <c r="B36" s="28" t="s">
        <v>477</v>
      </c>
      <c r="C36" s="28" t="s">
        <v>478</v>
      </c>
      <c r="D36" s="28" t="s">
        <v>198</v>
      </c>
      <c r="E36" s="29">
        <v>90368</v>
      </c>
      <c r="F36" s="30">
        <v>4236.316288</v>
      </c>
      <c r="G36" s="31">
        <v>1.337313E-2</v>
      </c>
      <c r="H36" s="24" t="s">
        <v>146</v>
      </c>
    </row>
    <row r="37" spans="1:8" x14ac:dyDescent="0.2">
      <c r="A37" s="27">
        <v>31</v>
      </c>
      <c r="B37" s="28" t="s">
        <v>350</v>
      </c>
      <c r="C37" s="28" t="s">
        <v>351</v>
      </c>
      <c r="D37" s="28" t="s">
        <v>233</v>
      </c>
      <c r="E37" s="29">
        <v>73404</v>
      </c>
      <c r="F37" s="30">
        <v>4208.214618</v>
      </c>
      <c r="G37" s="31">
        <v>1.328442E-2</v>
      </c>
      <c r="H37" s="24" t="s">
        <v>146</v>
      </c>
    </row>
    <row r="38" spans="1:8" x14ac:dyDescent="0.2">
      <c r="A38" s="27">
        <v>32</v>
      </c>
      <c r="B38" s="28" t="s">
        <v>419</v>
      </c>
      <c r="C38" s="28" t="s">
        <v>420</v>
      </c>
      <c r="D38" s="28" t="s">
        <v>120</v>
      </c>
      <c r="E38" s="29">
        <v>385537</v>
      </c>
      <c r="F38" s="30">
        <v>4174.7874044999999</v>
      </c>
      <c r="G38" s="31">
        <v>1.31789E-2</v>
      </c>
      <c r="H38" s="24" t="s">
        <v>146</v>
      </c>
    </row>
    <row r="39" spans="1:8" x14ac:dyDescent="0.2">
      <c r="A39" s="27">
        <v>33</v>
      </c>
      <c r="B39" s="28" t="s">
        <v>417</v>
      </c>
      <c r="C39" s="28" t="s">
        <v>418</v>
      </c>
      <c r="D39" s="28" t="s">
        <v>354</v>
      </c>
      <c r="E39" s="29">
        <v>971806</v>
      </c>
      <c r="F39" s="30">
        <v>4125.8023730000004</v>
      </c>
      <c r="G39" s="31">
        <v>1.3024259999999999E-2</v>
      </c>
      <c r="H39" s="24" t="s">
        <v>146</v>
      </c>
    </row>
    <row r="40" spans="1:8" x14ac:dyDescent="0.2">
      <c r="A40" s="27">
        <v>34</v>
      </c>
      <c r="B40" s="28" t="s">
        <v>61</v>
      </c>
      <c r="C40" s="28" t="s">
        <v>62</v>
      </c>
      <c r="D40" s="28" t="s">
        <v>36</v>
      </c>
      <c r="E40" s="29">
        <v>1099317</v>
      </c>
      <c r="F40" s="30">
        <v>4042.7382674999999</v>
      </c>
      <c r="G40" s="31">
        <v>1.276205E-2</v>
      </c>
      <c r="H40" s="24" t="s">
        <v>146</v>
      </c>
    </row>
    <row r="41" spans="1:8" ht="25.5" x14ac:dyDescent="0.2">
      <c r="A41" s="27">
        <v>35</v>
      </c>
      <c r="B41" s="28" t="s">
        <v>479</v>
      </c>
      <c r="C41" s="28" t="s">
        <v>480</v>
      </c>
      <c r="D41" s="28" t="s">
        <v>258</v>
      </c>
      <c r="E41" s="29">
        <v>211665</v>
      </c>
      <c r="F41" s="30">
        <v>4033.8057374999999</v>
      </c>
      <c r="G41" s="31">
        <v>1.273385E-2</v>
      </c>
      <c r="H41" s="24" t="s">
        <v>146</v>
      </c>
    </row>
    <row r="42" spans="1:8" x14ac:dyDescent="0.2">
      <c r="A42" s="27">
        <v>36</v>
      </c>
      <c r="B42" s="28" t="s">
        <v>481</v>
      </c>
      <c r="C42" s="28" t="s">
        <v>482</v>
      </c>
      <c r="D42" s="28" t="s">
        <v>83</v>
      </c>
      <c r="E42" s="29">
        <v>140438</v>
      </c>
      <c r="F42" s="30">
        <v>4011.8221269999999</v>
      </c>
      <c r="G42" s="31">
        <v>1.2664450000000001E-2</v>
      </c>
      <c r="H42" s="24" t="s">
        <v>146</v>
      </c>
    </row>
    <row r="43" spans="1:8" ht="25.5" x14ac:dyDescent="0.2">
      <c r="A43" s="27">
        <v>37</v>
      </c>
      <c r="B43" s="28" t="s">
        <v>483</v>
      </c>
      <c r="C43" s="28" t="s">
        <v>484</v>
      </c>
      <c r="D43" s="28" t="s">
        <v>485</v>
      </c>
      <c r="E43" s="29">
        <v>840776</v>
      </c>
      <c r="F43" s="30">
        <v>3963.418064</v>
      </c>
      <c r="G43" s="31">
        <v>1.2511649999999999E-2</v>
      </c>
      <c r="H43" s="24" t="s">
        <v>146</v>
      </c>
    </row>
    <row r="44" spans="1:8" ht="25.5" x14ac:dyDescent="0.2">
      <c r="A44" s="27">
        <v>38</v>
      </c>
      <c r="B44" s="28" t="s">
        <v>486</v>
      </c>
      <c r="C44" s="28" t="s">
        <v>487</v>
      </c>
      <c r="D44" s="28" t="s">
        <v>96</v>
      </c>
      <c r="E44" s="29">
        <v>255466</v>
      </c>
      <c r="F44" s="30">
        <v>3865.7115119999999</v>
      </c>
      <c r="G44" s="31">
        <v>1.2203210000000001E-2</v>
      </c>
      <c r="H44" s="24" t="s">
        <v>146</v>
      </c>
    </row>
    <row r="45" spans="1:8" x14ac:dyDescent="0.2">
      <c r="A45" s="27">
        <v>39</v>
      </c>
      <c r="B45" s="28" t="s">
        <v>488</v>
      </c>
      <c r="C45" s="28" t="s">
        <v>489</v>
      </c>
      <c r="D45" s="28" t="s">
        <v>354</v>
      </c>
      <c r="E45" s="29">
        <v>262189</v>
      </c>
      <c r="F45" s="30">
        <v>3813.4079105000001</v>
      </c>
      <c r="G45" s="31">
        <v>1.2038099999999999E-2</v>
      </c>
      <c r="H45" s="24" t="s">
        <v>146</v>
      </c>
    </row>
    <row r="46" spans="1:8" x14ac:dyDescent="0.2">
      <c r="A46" s="27">
        <v>40</v>
      </c>
      <c r="B46" s="28" t="s">
        <v>490</v>
      </c>
      <c r="C46" s="28" t="s">
        <v>491</v>
      </c>
      <c r="D46" s="28" t="s">
        <v>492</v>
      </c>
      <c r="E46" s="29">
        <v>652812</v>
      </c>
      <c r="F46" s="30">
        <v>3797.0809979999999</v>
      </c>
      <c r="G46" s="31">
        <v>1.198656E-2</v>
      </c>
      <c r="H46" s="24" t="s">
        <v>146</v>
      </c>
    </row>
    <row r="47" spans="1:8" ht="25.5" x14ac:dyDescent="0.2">
      <c r="A47" s="27">
        <v>41</v>
      </c>
      <c r="B47" s="28" t="s">
        <v>415</v>
      </c>
      <c r="C47" s="28" t="s">
        <v>416</v>
      </c>
      <c r="D47" s="28" t="s">
        <v>198</v>
      </c>
      <c r="E47" s="29">
        <v>650059</v>
      </c>
      <c r="F47" s="30">
        <v>3796.6695894999998</v>
      </c>
      <c r="G47" s="31">
        <v>1.1985259999999999E-2</v>
      </c>
      <c r="H47" s="24" t="s">
        <v>146</v>
      </c>
    </row>
    <row r="48" spans="1:8" x14ac:dyDescent="0.2">
      <c r="A48" s="27">
        <v>42</v>
      </c>
      <c r="B48" s="28" t="s">
        <v>493</v>
      </c>
      <c r="C48" s="28" t="s">
        <v>494</v>
      </c>
      <c r="D48" s="28" t="s">
        <v>39</v>
      </c>
      <c r="E48" s="29">
        <v>798400</v>
      </c>
      <c r="F48" s="30">
        <v>3750.8832000000002</v>
      </c>
      <c r="G48" s="31">
        <v>1.1840720000000001E-2</v>
      </c>
      <c r="H48" s="24" t="s">
        <v>146</v>
      </c>
    </row>
    <row r="49" spans="1:8" x14ac:dyDescent="0.2">
      <c r="A49" s="27">
        <v>43</v>
      </c>
      <c r="B49" s="28" t="s">
        <v>267</v>
      </c>
      <c r="C49" s="28" t="s">
        <v>268</v>
      </c>
      <c r="D49" s="28" t="s">
        <v>120</v>
      </c>
      <c r="E49" s="29">
        <v>872038</v>
      </c>
      <c r="F49" s="30">
        <v>3684.3605499999999</v>
      </c>
      <c r="G49" s="31">
        <v>1.1630730000000001E-2</v>
      </c>
      <c r="H49" s="24" t="s">
        <v>146</v>
      </c>
    </row>
    <row r="50" spans="1:8" x14ac:dyDescent="0.2">
      <c r="A50" s="27">
        <v>44</v>
      </c>
      <c r="B50" s="28" t="s">
        <v>59</v>
      </c>
      <c r="C50" s="28" t="s">
        <v>60</v>
      </c>
      <c r="D50" s="28" t="s">
        <v>13</v>
      </c>
      <c r="E50" s="29">
        <v>337012</v>
      </c>
      <c r="F50" s="30">
        <v>3567.7775379999998</v>
      </c>
      <c r="G50" s="31">
        <v>1.12627E-2</v>
      </c>
      <c r="H50" s="24" t="s">
        <v>146</v>
      </c>
    </row>
    <row r="51" spans="1:8" ht="25.5" x14ac:dyDescent="0.2">
      <c r="A51" s="27">
        <v>45</v>
      </c>
      <c r="B51" s="28" t="s">
        <v>439</v>
      </c>
      <c r="C51" s="28" t="s">
        <v>440</v>
      </c>
      <c r="D51" s="28" t="s">
        <v>25</v>
      </c>
      <c r="E51" s="29">
        <v>297739</v>
      </c>
      <c r="F51" s="30">
        <v>3476.1028249999999</v>
      </c>
      <c r="G51" s="31">
        <v>1.09733E-2</v>
      </c>
      <c r="H51" s="24" t="s">
        <v>146</v>
      </c>
    </row>
    <row r="52" spans="1:8" x14ac:dyDescent="0.2">
      <c r="A52" s="27">
        <v>46</v>
      </c>
      <c r="B52" s="28" t="s">
        <v>399</v>
      </c>
      <c r="C52" s="28" t="s">
        <v>400</v>
      </c>
      <c r="D52" s="28" t="s">
        <v>401</v>
      </c>
      <c r="E52" s="29">
        <v>308127</v>
      </c>
      <c r="F52" s="30">
        <v>3360.1249349999998</v>
      </c>
      <c r="G52" s="31">
        <v>1.0607180000000001E-2</v>
      </c>
      <c r="H52" s="24" t="s">
        <v>146</v>
      </c>
    </row>
    <row r="53" spans="1:8" x14ac:dyDescent="0.2">
      <c r="A53" s="27">
        <v>47</v>
      </c>
      <c r="B53" s="28" t="s">
        <v>495</v>
      </c>
      <c r="C53" s="28" t="s">
        <v>496</v>
      </c>
      <c r="D53" s="28" t="s">
        <v>497</v>
      </c>
      <c r="E53" s="29">
        <v>561432</v>
      </c>
      <c r="F53" s="30">
        <v>3310.483788</v>
      </c>
      <c r="G53" s="31">
        <v>1.045048E-2</v>
      </c>
      <c r="H53" s="24" t="s">
        <v>146</v>
      </c>
    </row>
    <row r="54" spans="1:8" x14ac:dyDescent="0.2">
      <c r="A54" s="27">
        <v>48</v>
      </c>
      <c r="B54" s="28" t="s">
        <v>498</v>
      </c>
      <c r="C54" s="28" t="s">
        <v>499</v>
      </c>
      <c r="D54" s="28" t="s">
        <v>280</v>
      </c>
      <c r="E54" s="29">
        <v>568213</v>
      </c>
      <c r="F54" s="30">
        <v>3273.1909864999998</v>
      </c>
      <c r="G54" s="31">
        <v>1.033275E-2</v>
      </c>
      <c r="H54" s="24" t="s">
        <v>146</v>
      </c>
    </row>
    <row r="55" spans="1:8" x14ac:dyDescent="0.2">
      <c r="A55" s="27">
        <v>49</v>
      </c>
      <c r="B55" s="28" t="s">
        <v>427</v>
      </c>
      <c r="C55" s="28" t="s">
        <v>428</v>
      </c>
      <c r="D55" s="28" t="s">
        <v>42</v>
      </c>
      <c r="E55" s="29">
        <v>275772</v>
      </c>
      <c r="F55" s="30">
        <v>3272.5863239999999</v>
      </c>
      <c r="G55" s="31">
        <v>1.0330840000000001E-2</v>
      </c>
      <c r="H55" s="24" t="s">
        <v>146</v>
      </c>
    </row>
    <row r="56" spans="1:8" x14ac:dyDescent="0.2">
      <c r="A56" s="27">
        <v>50</v>
      </c>
      <c r="B56" s="28" t="s">
        <v>500</v>
      </c>
      <c r="C56" s="28" t="s">
        <v>501</v>
      </c>
      <c r="D56" s="28" t="s">
        <v>39</v>
      </c>
      <c r="E56" s="29">
        <v>1467882</v>
      </c>
      <c r="F56" s="30">
        <v>3224.2028129999999</v>
      </c>
      <c r="G56" s="31">
        <v>1.0178110000000001E-2</v>
      </c>
      <c r="H56" s="24" t="s">
        <v>146</v>
      </c>
    </row>
    <row r="57" spans="1:8" x14ac:dyDescent="0.2">
      <c r="A57" s="27">
        <v>51</v>
      </c>
      <c r="B57" s="28" t="s">
        <v>457</v>
      </c>
      <c r="C57" s="28" t="s">
        <v>458</v>
      </c>
      <c r="D57" s="28" t="s">
        <v>42</v>
      </c>
      <c r="E57" s="29">
        <v>608663</v>
      </c>
      <c r="F57" s="30">
        <v>3152.5700084999999</v>
      </c>
      <c r="G57" s="31">
        <v>9.9519799999999992E-3</v>
      </c>
      <c r="H57" s="24" t="s">
        <v>146</v>
      </c>
    </row>
    <row r="58" spans="1:8" ht="25.5" x14ac:dyDescent="0.2">
      <c r="A58" s="27">
        <v>52</v>
      </c>
      <c r="B58" s="28" t="s">
        <v>391</v>
      </c>
      <c r="C58" s="28" t="s">
        <v>392</v>
      </c>
      <c r="D58" s="28" t="s">
        <v>198</v>
      </c>
      <c r="E58" s="29">
        <v>177419</v>
      </c>
      <c r="F58" s="30">
        <v>3129.4937410000002</v>
      </c>
      <c r="G58" s="31">
        <v>9.8791299999999999E-3</v>
      </c>
      <c r="H58" s="24" t="s">
        <v>146</v>
      </c>
    </row>
    <row r="59" spans="1:8" x14ac:dyDescent="0.2">
      <c r="A59" s="27">
        <v>53</v>
      </c>
      <c r="B59" s="28" t="s">
        <v>40</v>
      </c>
      <c r="C59" s="28" t="s">
        <v>41</v>
      </c>
      <c r="D59" s="28" t="s">
        <v>42</v>
      </c>
      <c r="E59" s="29">
        <v>62008</v>
      </c>
      <c r="F59" s="30">
        <v>3107.5309200000002</v>
      </c>
      <c r="G59" s="31">
        <v>9.8098000000000005E-3</v>
      </c>
      <c r="H59" s="24" t="s">
        <v>146</v>
      </c>
    </row>
    <row r="60" spans="1:8" x14ac:dyDescent="0.2">
      <c r="A60" s="27">
        <v>54</v>
      </c>
      <c r="B60" s="28" t="s">
        <v>502</v>
      </c>
      <c r="C60" s="28" t="s">
        <v>503</v>
      </c>
      <c r="D60" s="28" t="s">
        <v>42</v>
      </c>
      <c r="E60" s="29">
        <v>74038</v>
      </c>
      <c r="F60" s="30">
        <v>2993.9856629999999</v>
      </c>
      <c r="G60" s="31">
        <v>9.4513600000000007E-3</v>
      </c>
      <c r="H60" s="24" t="s">
        <v>146</v>
      </c>
    </row>
    <row r="61" spans="1:8" x14ac:dyDescent="0.2">
      <c r="A61" s="27">
        <v>55</v>
      </c>
      <c r="B61" s="28" t="s">
        <v>504</v>
      </c>
      <c r="C61" s="28" t="s">
        <v>505</v>
      </c>
      <c r="D61" s="28" t="s">
        <v>233</v>
      </c>
      <c r="E61" s="29">
        <v>143580</v>
      </c>
      <c r="F61" s="30">
        <v>2917.5455999999999</v>
      </c>
      <c r="G61" s="31">
        <v>9.2100600000000008E-3</v>
      </c>
      <c r="H61" s="24" t="s">
        <v>146</v>
      </c>
    </row>
    <row r="62" spans="1:8" x14ac:dyDescent="0.2">
      <c r="A62" s="27">
        <v>56</v>
      </c>
      <c r="B62" s="28" t="s">
        <v>283</v>
      </c>
      <c r="C62" s="28" t="s">
        <v>284</v>
      </c>
      <c r="D62" s="28" t="s">
        <v>83</v>
      </c>
      <c r="E62" s="29">
        <v>86208</v>
      </c>
      <c r="F62" s="30">
        <v>2863.9159679999998</v>
      </c>
      <c r="G62" s="31">
        <v>9.0407600000000001E-3</v>
      </c>
      <c r="H62" s="24" t="s">
        <v>146</v>
      </c>
    </row>
    <row r="63" spans="1:8" x14ac:dyDescent="0.2">
      <c r="A63" s="27">
        <v>57</v>
      </c>
      <c r="B63" s="28" t="s">
        <v>506</v>
      </c>
      <c r="C63" s="28" t="s">
        <v>507</v>
      </c>
      <c r="D63" s="28" t="s">
        <v>83</v>
      </c>
      <c r="E63" s="29">
        <v>494540</v>
      </c>
      <c r="F63" s="30">
        <v>2846.57224</v>
      </c>
      <c r="G63" s="31">
        <v>8.9860099999999991E-3</v>
      </c>
      <c r="H63" s="24" t="s">
        <v>146</v>
      </c>
    </row>
    <row r="64" spans="1:8" x14ac:dyDescent="0.2">
      <c r="A64" s="27">
        <v>58</v>
      </c>
      <c r="B64" s="28" t="s">
        <v>409</v>
      </c>
      <c r="C64" s="28" t="s">
        <v>410</v>
      </c>
      <c r="D64" s="28" t="s">
        <v>195</v>
      </c>
      <c r="E64" s="29">
        <v>498569</v>
      </c>
      <c r="F64" s="30">
        <v>2665.349874</v>
      </c>
      <c r="G64" s="31">
        <v>8.41393E-3</v>
      </c>
      <c r="H64" s="24" t="s">
        <v>146</v>
      </c>
    </row>
    <row r="65" spans="1:8" x14ac:dyDescent="0.2">
      <c r="A65" s="27">
        <v>59</v>
      </c>
      <c r="B65" s="28" t="s">
        <v>508</v>
      </c>
      <c r="C65" s="28" t="s">
        <v>509</v>
      </c>
      <c r="D65" s="28" t="s">
        <v>233</v>
      </c>
      <c r="E65" s="29">
        <v>251901</v>
      </c>
      <c r="F65" s="30">
        <v>2615.9918849999999</v>
      </c>
      <c r="G65" s="31">
        <v>8.2581200000000007E-3</v>
      </c>
      <c r="H65" s="24" t="s">
        <v>146</v>
      </c>
    </row>
    <row r="66" spans="1:8" ht="25.5" x14ac:dyDescent="0.2">
      <c r="A66" s="27">
        <v>60</v>
      </c>
      <c r="B66" s="28" t="s">
        <v>50</v>
      </c>
      <c r="C66" s="28" t="s">
        <v>51</v>
      </c>
      <c r="D66" s="28" t="s">
        <v>25</v>
      </c>
      <c r="E66" s="29">
        <v>52854</v>
      </c>
      <c r="F66" s="30">
        <v>2555.411619</v>
      </c>
      <c r="G66" s="31">
        <v>8.0668800000000002E-3</v>
      </c>
      <c r="H66" s="24" t="s">
        <v>146</v>
      </c>
    </row>
    <row r="67" spans="1:8" x14ac:dyDescent="0.2">
      <c r="A67" s="27">
        <v>61</v>
      </c>
      <c r="B67" s="28" t="s">
        <v>510</v>
      </c>
      <c r="C67" s="28" t="s">
        <v>511</v>
      </c>
      <c r="D67" s="28" t="s">
        <v>512</v>
      </c>
      <c r="E67" s="29">
        <v>258182</v>
      </c>
      <c r="F67" s="30">
        <v>2406.2562400000002</v>
      </c>
      <c r="G67" s="31">
        <v>7.5960300000000001E-3</v>
      </c>
      <c r="H67" s="24" t="s">
        <v>146</v>
      </c>
    </row>
    <row r="68" spans="1:8" x14ac:dyDescent="0.2">
      <c r="A68" s="27">
        <v>62</v>
      </c>
      <c r="B68" s="28" t="s">
        <v>331</v>
      </c>
      <c r="C68" s="28" t="s">
        <v>332</v>
      </c>
      <c r="D68" s="28" t="s">
        <v>205</v>
      </c>
      <c r="E68" s="29">
        <v>1074606</v>
      </c>
      <c r="F68" s="30">
        <v>2367.8943210000002</v>
      </c>
      <c r="G68" s="31">
        <v>7.4749300000000003E-3</v>
      </c>
      <c r="H68" s="24" t="s">
        <v>146</v>
      </c>
    </row>
    <row r="69" spans="1:8" x14ac:dyDescent="0.2">
      <c r="A69" s="27">
        <v>63</v>
      </c>
      <c r="B69" s="28" t="s">
        <v>513</v>
      </c>
      <c r="C69" s="28" t="s">
        <v>514</v>
      </c>
      <c r="D69" s="28" t="s">
        <v>33</v>
      </c>
      <c r="E69" s="29">
        <v>2009759</v>
      </c>
      <c r="F69" s="30">
        <v>2261.3808267999998</v>
      </c>
      <c r="G69" s="31">
        <v>7.1386899999999996E-3</v>
      </c>
      <c r="H69" s="24" t="s">
        <v>146</v>
      </c>
    </row>
    <row r="70" spans="1:8" x14ac:dyDescent="0.2">
      <c r="A70" s="27">
        <v>64</v>
      </c>
      <c r="B70" s="28" t="s">
        <v>515</v>
      </c>
      <c r="C70" s="28" t="s">
        <v>516</v>
      </c>
      <c r="D70" s="28" t="s">
        <v>226</v>
      </c>
      <c r="E70" s="29">
        <v>93259</v>
      </c>
      <c r="F70" s="30">
        <v>2031.5540559999999</v>
      </c>
      <c r="G70" s="31">
        <v>6.4131800000000001E-3</v>
      </c>
      <c r="H70" s="24" t="s">
        <v>146</v>
      </c>
    </row>
    <row r="71" spans="1:8" x14ac:dyDescent="0.2">
      <c r="A71" s="27">
        <v>65</v>
      </c>
      <c r="B71" s="28" t="s">
        <v>357</v>
      </c>
      <c r="C71" s="28" t="s">
        <v>358</v>
      </c>
      <c r="D71" s="28" t="s">
        <v>275</v>
      </c>
      <c r="E71" s="29">
        <v>276702</v>
      </c>
      <c r="F71" s="30">
        <v>1981.4630219999999</v>
      </c>
      <c r="G71" s="31">
        <v>6.2550499999999998E-3</v>
      </c>
      <c r="H71" s="24" t="s">
        <v>146</v>
      </c>
    </row>
    <row r="72" spans="1:8" ht="25.5" x14ac:dyDescent="0.2">
      <c r="A72" s="27">
        <v>66</v>
      </c>
      <c r="B72" s="28" t="s">
        <v>256</v>
      </c>
      <c r="C72" s="28" t="s">
        <v>257</v>
      </c>
      <c r="D72" s="28" t="s">
        <v>258</v>
      </c>
      <c r="E72" s="29">
        <v>65271</v>
      </c>
      <c r="F72" s="30">
        <v>1517.942376</v>
      </c>
      <c r="G72" s="31">
        <v>4.7918099999999996E-3</v>
      </c>
      <c r="H72" s="24" t="s">
        <v>146</v>
      </c>
    </row>
    <row r="73" spans="1:8" x14ac:dyDescent="0.2">
      <c r="A73" s="27">
        <v>67</v>
      </c>
      <c r="B73" s="28" t="s">
        <v>37</v>
      </c>
      <c r="C73" s="28" t="s">
        <v>38</v>
      </c>
      <c r="D73" s="28" t="s">
        <v>39</v>
      </c>
      <c r="E73" s="29">
        <v>22258</v>
      </c>
      <c r="F73" s="30">
        <v>1447.170644</v>
      </c>
      <c r="G73" s="31">
        <v>4.5684000000000002E-3</v>
      </c>
      <c r="H73" s="24" t="s">
        <v>146</v>
      </c>
    </row>
    <row r="74" spans="1:8" x14ac:dyDescent="0.2">
      <c r="A74" s="27">
        <v>68</v>
      </c>
      <c r="B74" s="28" t="s">
        <v>517</v>
      </c>
      <c r="C74" s="28" t="s">
        <v>518</v>
      </c>
      <c r="D74" s="28" t="s">
        <v>39</v>
      </c>
      <c r="E74" s="29">
        <v>199530</v>
      </c>
      <c r="F74" s="30">
        <v>1302.73137</v>
      </c>
      <c r="G74" s="31">
        <v>4.1124400000000002E-3</v>
      </c>
      <c r="H74" s="24" t="s">
        <v>146</v>
      </c>
    </row>
    <row r="75" spans="1:8" x14ac:dyDescent="0.2">
      <c r="A75" s="27">
        <v>69</v>
      </c>
      <c r="B75" s="28" t="s">
        <v>429</v>
      </c>
      <c r="C75" s="28" t="s">
        <v>430</v>
      </c>
      <c r="D75" s="28" t="s">
        <v>83</v>
      </c>
      <c r="E75" s="29">
        <v>286238</v>
      </c>
      <c r="F75" s="30">
        <v>1242.2729200000001</v>
      </c>
      <c r="G75" s="31">
        <v>3.92159E-3</v>
      </c>
      <c r="H75" s="24" t="s">
        <v>146</v>
      </c>
    </row>
    <row r="76" spans="1:8" x14ac:dyDescent="0.2">
      <c r="A76" s="27">
        <v>70</v>
      </c>
      <c r="B76" s="28" t="s">
        <v>287</v>
      </c>
      <c r="C76" s="28" t="s">
        <v>288</v>
      </c>
      <c r="D76" s="28" t="s">
        <v>233</v>
      </c>
      <c r="E76" s="29">
        <v>26463</v>
      </c>
      <c r="F76" s="30">
        <v>953.59420499999999</v>
      </c>
      <c r="G76" s="31">
        <v>3.0102900000000001E-3</v>
      </c>
      <c r="H76" s="24" t="s">
        <v>146</v>
      </c>
    </row>
    <row r="77" spans="1:8" x14ac:dyDescent="0.2">
      <c r="A77" s="27">
        <v>71</v>
      </c>
      <c r="B77" s="28" t="s">
        <v>423</v>
      </c>
      <c r="C77" s="28" t="s">
        <v>424</v>
      </c>
      <c r="D77" s="28" t="s">
        <v>39</v>
      </c>
      <c r="E77" s="29">
        <v>143771</v>
      </c>
      <c r="F77" s="30">
        <v>891.66774199999998</v>
      </c>
      <c r="G77" s="31">
        <v>2.8148000000000001E-3</v>
      </c>
      <c r="H77" s="24" t="s">
        <v>146</v>
      </c>
    </row>
    <row r="78" spans="1:8" x14ac:dyDescent="0.2">
      <c r="A78" s="27">
        <v>72</v>
      </c>
      <c r="B78" s="28" t="s">
        <v>135</v>
      </c>
      <c r="C78" s="28" t="s">
        <v>136</v>
      </c>
      <c r="D78" s="28" t="s">
        <v>13</v>
      </c>
      <c r="E78" s="29">
        <v>252704</v>
      </c>
      <c r="F78" s="30">
        <v>836.19753600000001</v>
      </c>
      <c r="G78" s="31">
        <v>2.6396900000000001E-3</v>
      </c>
      <c r="H78" s="24" t="s">
        <v>146</v>
      </c>
    </row>
    <row r="79" spans="1:8" x14ac:dyDescent="0.2">
      <c r="A79" s="27">
        <v>73</v>
      </c>
      <c r="B79" s="28" t="s">
        <v>395</v>
      </c>
      <c r="C79" s="28" t="s">
        <v>396</v>
      </c>
      <c r="D79" s="28" t="s">
        <v>233</v>
      </c>
      <c r="E79" s="29">
        <v>185</v>
      </c>
      <c r="F79" s="30">
        <v>4.3402849999999997</v>
      </c>
      <c r="G79" s="31" t="s">
        <v>144</v>
      </c>
      <c r="H79" s="24" t="s">
        <v>146</v>
      </c>
    </row>
    <row r="80" spans="1:8" x14ac:dyDescent="0.2">
      <c r="A80" s="25"/>
      <c r="B80" s="25"/>
      <c r="C80" s="26" t="s">
        <v>145</v>
      </c>
      <c r="D80" s="25"/>
      <c r="E80" s="25" t="s">
        <v>146</v>
      </c>
      <c r="F80" s="32">
        <f>SUM(F7:F79)</f>
        <v>297995.4715058002</v>
      </c>
      <c r="G80" s="33">
        <f>SUM(G7:G79)</f>
        <v>0.9406932899999999</v>
      </c>
      <c r="H80" s="24" t="s">
        <v>146</v>
      </c>
    </row>
    <row r="81" spans="1:8" x14ac:dyDescent="0.2">
      <c r="A81" s="25"/>
      <c r="B81" s="25"/>
      <c r="C81" s="34"/>
      <c r="D81" s="25"/>
      <c r="E81" s="25"/>
      <c r="F81" s="35"/>
      <c r="G81" s="35"/>
      <c r="H81" s="24" t="s">
        <v>146</v>
      </c>
    </row>
    <row r="82" spans="1:8" x14ac:dyDescent="0.2">
      <c r="A82" s="25"/>
      <c r="B82" s="25"/>
      <c r="C82" s="26" t="s">
        <v>147</v>
      </c>
      <c r="D82" s="25"/>
      <c r="E82" s="25"/>
      <c r="F82" s="25"/>
      <c r="G82" s="25"/>
      <c r="H82" s="24" t="s">
        <v>146</v>
      </c>
    </row>
    <row r="83" spans="1:8" x14ac:dyDescent="0.2">
      <c r="A83" s="25"/>
      <c r="B83" s="25"/>
      <c r="C83" s="26" t="s">
        <v>145</v>
      </c>
      <c r="D83" s="25"/>
      <c r="E83" s="25" t="s">
        <v>146</v>
      </c>
      <c r="F83" s="36" t="s">
        <v>148</v>
      </c>
      <c r="G83" s="33">
        <v>0</v>
      </c>
      <c r="H83" s="24" t="s">
        <v>146</v>
      </c>
    </row>
    <row r="84" spans="1:8" x14ac:dyDescent="0.2">
      <c r="A84" s="25"/>
      <c r="B84" s="25"/>
      <c r="C84" s="34"/>
      <c r="D84" s="25"/>
      <c r="E84" s="25"/>
      <c r="F84" s="35"/>
      <c r="G84" s="35"/>
      <c r="H84" s="24" t="s">
        <v>146</v>
      </c>
    </row>
    <row r="85" spans="1:8" x14ac:dyDescent="0.2">
      <c r="A85" s="25"/>
      <c r="B85" s="25"/>
      <c r="C85" s="26" t="s">
        <v>149</v>
      </c>
      <c r="D85" s="25"/>
      <c r="E85" s="25"/>
      <c r="F85" s="25"/>
      <c r="G85" s="25"/>
      <c r="H85" s="24" t="s">
        <v>146</v>
      </c>
    </row>
    <row r="86" spans="1:8" x14ac:dyDescent="0.2">
      <c r="A86" s="27">
        <v>1</v>
      </c>
      <c r="B86" s="28" t="s">
        <v>142</v>
      </c>
      <c r="C86" s="37" t="s">
        <v>857</v>
      </c>
      <c r="D86" s="28" t="s">
        <v>143</v>
      </c>
      <c r="E86" s="29">
        <v>375961</v>
      </c>
      <c r="F86" s="30">
        <v>7.5190000000000003E-6</v>
      </c>
      <c r="G86" s="38" t="s">
        <v>144</v>
      </c>
      <c r="H86" s="24" t="s">
        <v>146</v>
      </c>
    </row>
    <row r="87" spans="1:8" x14ac:dyDescent="0.2">
      <c r="A87" s="25"/>
      <c r="B87" s="25"/>
      <c r="C87" s="26" t="s">
        <v>145</v>
      </c>
      <c r="D87" s="25"/>
      <c r="E87" s="25" t="s">
        <v>146</v>
      </c>
      <c r="F87" s="36" t="s">
        <v>148</v>
      </c>
      <c r="G87" s="33">
        <v>0</v>
      </c>
      <c r="H87" s="24" t="s">
        <v>146</v>
      </c>
    </row>
    <row r="88" spans="1:8" x14ac:dyDescent="0.2">
      <c r="A88" s="25"/>
      <c r="B88" s="25"/>
      <c r="C88" s="34"/>
      <c r="D88" s="25"/>
      <c r="E88" s="25"/>
      <c r="F88" s="35"/>
      <c r="G88" s="35"/>
      <c r="H88" s="24" t="s">
        <v>146</v>
      </c>
    </row>
    <row r="89" spans="1:8" x14ac:dyDescent="0.2">
      <c r="A89" s="25"/>
      <c r="B89" s="25"/>
      <c r="C89" s="26" t="s">
        <v>150</v>
      </c>
      <c r="D89" s="25"/>
      <c r="E89" s="25"/>
      <c r="F89" s="25"/>
      <c r="G89" s="25"/>
      <c r="H89" s="24" t="s">
        <v>146</v>
      </c>
    </row>
    <row r="90" spans="1:8" x14ac:dyDescent="0.2">
      <c r="A90" s="25"/>
      <c r="B90" s="25"/>
      <c r="C90" s="26" t="s">
        <v>145</v>
      </c>
      <c r="D90" s="25"/>
      <c r="E90" s="25" t="s">
        <v>146</v>
      </c>
      <c r="F90" s="36" t="s">
        <v>148</v>
      </c>
      <c r="G90" s="33">
        <v>0</v>
      </c>
      <c r="H90" s="24" t="s">
        <v>146</v>
      </c>
    </row>
    <row r="91" spans="1:8" x14ac:dyDescent="0.2">
      <c r="A91" s="25"/>
      <c r="B91" s="25"/>
      <c r="C91" s="34"/>
      <c r="D91" s="25"/>
      <c r="E91" s="25"/>
      <c r="F91" s="35"/>
      <c r="G91" s="35"/>
      <c r="H91" s="24" t="s">
        <v>146</v>
      </c>
    </row>
    <row r="92" spans="1:8" x14ac:dyDescent="0.2">
      <c r="A92" s="25"/>
      <c r="B92" s="25"/>
      <c r="C92" s="26" t="s">
        <v>151</v>
      </c>
      <c r="D92" s="25"/>
      <c r="E92" s="25"/>
      <c r="F92" s="35"/>
      <c r="G92" s="35"/>
      <c r="H92" s="24" t="s">
        <v>146</v>
      </c>
    </row>
    <row r="93" spans="1:8" x14ac:dyDescent="0.2">
      <c r="A93" s="25"/>
      <c r="B93" s="25"/>
      <c r="C93" s="26" t="s">
        <v>145</v>
      </c>
      <c r="D93" s="25"/>
      <c r="E93" s="25" t="s">
        <v>146</v>
      </c>
      <c r="F93" s="36" t="s">
        <v>148</v>
      </c>
      <c r="G93" s="33">
        <v>0</v>
      </c>
      <c r="H93" s="24" t="s">
        <v>146</v>
      </c>
    </row>
    <row r="94" spans="1:8" x14ac:dyDescent="0.2">
      <c r="A94" s="25"/>
      <c r="B94" s="25"/>
      <c r="C94" s="34"/>
      <c r="D94" s="25"/>
      <c r="E94" s="25"/>
      <c r="F94" s="35"/>
      <c r="G94" s="35"/>
      <c r="H94" s="24" t="s">
        <v>146</v>
      </c>
    </row>
    <row r="95" spans="1:8" x14ac:dyDescent="0.2">
      <c r="A95" s="25"/>
      <c r="B95" s="25"/>
      <c r="C95" s="26" t="s">
        <v>152</v>
      </c>
      <c r="D95" s="25"/>
      <c r="E95" s="25"/>
      <c r="F95" s="35"/>
      <c r="G95" s="35"/>
      <c r="H95" s="24" t="s">
        <v>146</v>
      </c>
    </row>
    <row r="96" spans="1:8" x14ac:dyDescent="0.2">
      <c r="A96" s="27">
        <v>1</v>
      </c>
      <c r="B96" s="28"/>
      <c r="C96" s="28" t="s">
        <v>882</v>
      </c>
      <c r="D96" s="28" t="s">
        <v>519</v>
      </c>
      <c r="E96" s="29">
        <v>224600</v>
      </c>
      <c r="F96" s="30">
        <v>5032.4998999999998</v>
      </c>
      <c r="G96" s="31">
        <v>1.588651E-2</v>
      </c>
      <c r="H96" s="24" t="s">
        <v>146</v>
      </c>
    </row>
    <row r="97" spans="1:8" x14ac:dyDescent="0.2">
      <c r="A97" s="27">
        <v>2</v>
      </c>
      <c r="B97" s="28"/>
      <c r="C97" s="28" t="s">
        <v>883</v>
      </c>
      <c r="D97" s="28" t="s">
        <v>519</v>
      </c>
      <c r="E97" s="29">
        <v>1800</v>
      </c>
      <c r="F97" s="30">
        <v>72.634500000000003</v>
      </c>
      <c r="G97" s="31">
        <v>2.2929E-4</v>
      </c>
      <c r="H97" s="24" t="s">
        <v>146</v>
      </c>
    </row>
    <row r="98" spans="1:8" x14ac:dyDescent="0.2">
      <c r="A98" s="25"/>
      <c r="B98" s="25"/>
      <c r="C98" s="26" t="s">
        <v>145</v>
      </c>
      <c r="D98" s="25"/>
      <c r="E98" s="25" t="s">
        <v>146</v>
      </c>
      <c r="F98" s="32">
        <v>5105.1343999999999</v>
      </c>
      <c r="G98" s="33">
        <v>1.61158E-2</v>
      </c>
      <c r="H98" s="24" t="s">
        <v>146</v>
      </c>
    </row>
    <row r="99" spans="1:8" x14ac:dyDescent="0.2">
      <c r="A99" s="25"/>
      <c r="B99" s="25"/>
      <c r="C99" s="34"/>
      <c r="D99" s="25"/>
      <c r="E99" s="25"/>
      <c r="F99" s="35"/>
      <c r="G99" s="35"/>
      <c r="H99" s="24" t="s">
        <v>146</v>
      </c>
    </row>
    <row r="100" spans="1:8" x14ac:dyDescent="0.2">
      <c r="A100" s="25"/>
      <c r="B100" s="25"/>
      <c r="C100" s="26" t="s">
        <v>153</v>
      </c>
      <c r="D100" s="25"/>
      <c r="E100" s="25"/>
      <c r="F100" s="32">
        <f>F80+F98</f>
        <v>303100.60590580018</v>
      </c>
      <c r="G100" s="33">
        <f>G98+G80</f>
        <v>0.95680908999999992</v>
      </c>
      <c r="H100" s="24" t="s">
        <v>146</v>
      </c>
    </row>
    <row r="101" spans="1:8" x14ac:dyDescent="0.2">
      <c r="A101" s="25"/>
      <c r="B101" s="25"/>
      <c r="C101" s="34"/>
      <c r="D101" s="25"/>
      <c r="E101" s="25"/>
      <c r="F101" s="35"/>
      <c r="G101" s="35"/>
      <c r="H101" s="24" t="s">
        <v>146</v>
      </c>
    </row>
    <row r="102" spans="1:8" x14ac:dyDescent="0.2">
      <c r="A102" s="25"/>
      <c r="B102" s="25"/>
      <c r="C102" s="26" t="s">
        <v>154</v>
      </c>
      <c r="D102" s="25"/>
      <c r="E102" s="25"/>
      <c r="F102" s="35"/>
      <c r="G102" s="35"/>
      <c r="H102" s="24" t="s">
        <v>146</v>
      </c>
    </row>
    <row r="103" spans="1:8" x14ac:dyDescent="0.2">
      <c r="A103" s="25"/>
      <c r="B103" s="25"/>
      <c r="C103" s="26" t="s">
        <v>10</v>
      </c>
      <c r="D103" s="25"/>
      <c r="E103" s="25"/>
      <c r="F103" s="35"/>
      <c r="G103" s="35"/>
      <c r="H103" s="24" t="s">
        <v>146</v>
      </c>
    </row>
    <row r="104" spans="1:8" x14ac:dyDescent="0.2">
      <c r="A104" s="25"/>
      <c r="B104" s="25"/>
      <c r="C104" s="26" t="s">
        <v>145</v>
      </c>
      <c r="D104" s="25"/>
      <c r="E104" s="25" t="s">
        <v>146</v>
      </c>
      <c r="F104" s="36" t="s">
        <v>148</v>
      </c>
      <c r="G104" s="33">
        <v>0</v>
      </c>
      <c r="H104" s="24" t="s">
        <v>146</v>
      </c>
    </row>
    <row r="105" spans="1:8" x14ac:dyDescent="0.2">
      <c r="A105" s="25"/>
      <c r="B105" s="25"/>
      <c r="C105" s="34"/>
      <c r="D105" s="25"/>
      <c r="E105" s="25"/>
      <c r="F105" s="35"/>
      <c r="G105" s="35"/>
      <c r="H105" s="24" t="s">
        <v>146</v>
      </c>
    </row>
    <row r="106" spans="1:8" x14ac:dyDescent="0.2">
      <c r="A106" s="25"/>
      <c r="B106" s="25"/>
      <c r="C106" s="26" t="s">
        <v>155</v>
      </c>
      <c r="D106" s="25"/>
      <c r="E106" s="25"/>
      <c r="F106" s="25"/>
      <c r="G106" s="25"/>
      <c r="H106" s="24" t="s">
        <v>146</v>
      </c>
    </row>
    <row r="107" spans="1:8" x14ac:dyDescent="0.2">
      <c r="A107" s="25"/>
      <c r="B107" s="25"/>
      <c r="C107" s="26" t="s">
        <v>145</v>
      </c>
      <c r="D107" s="25"/>
      <c r="E107" s="25" t="s">
        <v>146</v>
      </c>
      <c r="F107" s="36" t="s">
        <v>148</v>
      </c>
      <c r="G107" s="33">
        <v>0</v>
      </c>
      <c r="H107" s="24" t="s">
        <v>146</v>
      </c>
    </row>
    <row r="108" spans="1:8" x14ac:dyDescent="0.2">
      <c r="A108" s="25"/>
      <c r="B108" s="25"/>
      <c r="C108" s="34"/>
      <c r="D108" s="25"/>
      <c r="E108" s="25"/>
      <c r="F108" s="35"/>
      <c r="G108" s="35"/>
      <c r="H108" s="24" t="s">
        <v>146</v>
      </c>
    </row>
    <row r="109" spans="1:8" x14ac:dyDescent="0.2">
      <c r="A109" s="25"/>
      <c r="B109" s="25"/>
      <c r="C109" s="26" t="s">
        <v>156</v>
      </c>
      <c r="D109" s="25"/>
      <c r="E109" s="25"/>
      <c r="F109" s="25"/>
      <c r="G109" s="25"/>
      <c r="H109" s="24" t="s">
        <v>146</v>
      </c>
    </row>
    <row r="110" spans="1:8" x14ac:dyDescent="0.2">
      <c r="A110" s="25"/>
      <c r="B110" s="25"/>
      <c r="C110" s="26" t="s">
        <v>145</v>
      </c>
      <c r="D110" s="25"/>
      <c r="E110" s="25" t="s">
        <v>146</v>
      </c>
      <c r="F110" s="36" t="s">
        <v>148</v>
      </c>
      <c r="G110" s="33">
        <v>0</v>
      </c>
      <c r="H110" s="24" t="s">
        <v>146</v>
      </c>
    </row>
    <row r="111" spans="1:8" x14ac:dyDescent="0.2">
      <c r="A111" s="25"/>
      <c r="B111" s="25"/>
      <c r="C111" s="34"/>
      <c r="D111" s="25"/>
      <c r="E111" s="25"/>
      <c r="F111" s="35"/>
      <c r="G111" s="35"/>
      <c r="H111" s="24" t="s">
        <v>146</v>
      </c>
    </row>
    <row r="112" spans="1:8" x14ac:dyDescent="0.2">
      <c r="A112" s="25"/>
      <c r="B112" s="25"/>
      <c r="C112" s="26" t="s">
        <v>157</v>
      </c>
      <c r="D112" s="25"/>
      <c r="E112" s="25"/>
      <c r="F112" s="35"/>
      <c r="G112" s="35"/>
      <c r="H112" s="24" t="s">
        <v>146</v>
      </c>
    </row>
    <row r="113" spans="1:8" x14ac:dyDescent="0.2">
      <c r="A113" s="25"/>
      <c r="B113" s="25"/>
      <c r="C113" s="26" t="s">
        <v>145</v>
      </c>
      <c r="D113" s="25"/>
      <c r="E113" s="25" t="s">
        <v>146</v>
      </c>
      <c r="F113" s="36" t="s">
        <v>148</v>
      </c>
      <c r="G113" s="33">
        <v>0</v>
      </c>
      <c r="H113" s="24" t="s">
        <v>146</v>
      </c>
    </row>
    <row r="114" spans="1:8" x14ac:dyDescent="0.2">
      <c r="A114" s="25"/>
      <c r="B114" s="25"/>
      <c r="C114" s="34"/>
      <c r="D114" s="25"/>
      <c r="E114" s="25"/>
      <c r="F114" s="35"/>
      <c r="G114" s="35"/>
      <c r="H114" s="24" t="s">
        <v>146</v>
      </c>
    </row>
    <row r="115" spans="1:8" x14ac:dyDescent="0.2">
      <c r="A115" s="25"/>
      <c r="B115" s="25"/>
      <c r="C115" s="26" t="s">
        <v>158</v>
      </c>
      <c r="D115" s="25"/>
      <c r="E115" s="25"/>
      <c r="F115" s="32">
        <v>0</v>
      </c>
      <c r="G115" s="33">
        <v>0</v>
      </c>
      <c r="H115" s="24" t="s">
        <v>146</v>
      </c>
    </row>
    <row r="116" spans="1:8" x14ac:dyDescent="0.2">
      <c r="A116" s="25"/>
      <c r="B116" s="25"/>
      <c r="C116" s="34"/>
      <c r="D116" s="25"/>
      <c r="E116" s="25"/>
      <c r="F116" s="35"/>
      <c r="G116" s="35"/>
      <c r="H116" s="24" t="s">
        <v>146</v>
      </c>
    </row>
    <row r="117" spans="1:8" x14ac:dyDescent="0.2">
      <c r="A117" s="25"/>
      <c r="B117" s="25"/>
      <c r="C117" s="26" t="s">
        <v>159</v>
      </c>
      <c r="D117" s="25"/>
      <c r="E117" s="25"/>
      <c r="F117" s="35"/>
      <c r="G117" s="35"/>
      <c r="H117" s="24" t="s">
        <v>146</v>
      </c>
    </row>
    <row r="118" spans="1:8" x14ac:dyDescent="0.2">
      <c r="A118" s="25"/>
      <c r="B118" s="25"/>
      <c r="C118" s="26" t="s">
        <v>160</v>
      </c>
      <c r="D118" s="25"/>
      <c r="E118" s="25"/>
      <c r="F118" s="35"/>
      <c r="G118" s="35"/>
      <c r="H118" s="24" t="s">
        <v>146</v>
      </c>
    </row>
    <row r="119" spans="1:8" x14ac:dyDescent="0.2">
      <c r="A119" s="25"/>
      <c r="B119" s="25"/>
      <c r="C119" s="26" t="s">
        <v>145</v>
      </c>
      <c r="D119" s="25"/>
      <c r="E119" s="25" t="s">
        <v>146</v>
      </c>
      <c r="F119" s="36" t="s">
        <v>148</v>
      </c>
      <c r="G119" s="33">
        <v>0</v>
      </c>
      <c r="H119" s="24" t="s">
        <v>146</v>
      </c>
    </row>
    <row r="120" spans="1:8" x14ac:dyDescent="0.2">
      <c r="A120" s="25"/>
      <c r="B120" s="25"/>
      <c r="C120" s="34"/>
      <c r="D120" s="25"/>
      <c r="E120" s="25"/>
      <c r="F120" s="35"/>
      <c r="G120" s="35"/>
      <c r="H120" s="24" t="s">
        <v>146</v>
      </c>
    </row>
    <row r="121" spans="1:8" x14ac:dyDescent="0.2">
      <c r="A121" s="25"/>
      <c r="B121" s="25"/>
      <c r="C121" s="26" t="s">
        <v>161</v>
      </c>
      <c r="D121" s="25"/>
      <c r="E121" s="25"/>
      <c r="F121" s="35"/>
      <c r="G121" s="35"/>
      <c r="H121" s="24" t="s">
        <v>146</v>
      </c>
    </row>
    <row r="122" spans="1:8" x14ac:dyDescent="0.2">
      <c r="A122" s="25"/>
      <c r="B122" s="25"/>
      <c r="C122" s="26" t="s">
        <v>145</v>
      </c>
      <c r="D122" s="25"/>
      <c r="E122" s="25" t="s">
        <v>146</v>
      </c>
      <c r="F122" s="36" t="s">
        <v>148</v>
      </c>
      <c r="G122" s="33">
        <v>0</v>
      </c>
      <c r="H122" s="24" t="s">
        <v>146</v>
      </c>
    </row>
    <row r="123" spans="1:8" x14ac:dyDescent="0.2">
      <c r="A123" s="25"/>
      <c r="B123" s="25"/>
      <c r="C123" s="34"/>
      <c r="D123" s="25"/>
      <c r="E123" s="25"/>
      <c r="F123" s="35"/>
      <c r="G123" s="35"/>
      <c r="H123" s="24" t="s">
        <v>146</v>
      </c>
    </row>
    <row r="124" spans="1:8" x14ac:dyDescent="0.2">
      <c r="A124" s="25"/>
      <c r="B124" s="25"/>
      <c r="C124" s="26" t="s">
        <v>162</v>
      </c>
      <c r="D124" s="25"/>
      <c r="E124" s="25"/>
      <c r="F124" s="35"/>
      <c r="G124" s="35"/>
      <c r="H124" s="24" t="s">
        <v>146</v>
      </c>
    </row>
    <row r="125" spans="1:8" x14ac:dyDescent="0.2">
      <c r="A125" s="27">
        <v>1</v>
      </c>
      <c r="B125" s="28" t="s">
        <v>520</v>
      </c>
      <c r="C125" s="28" t="s">
        <v>1077</v>
      </c>
      <c r="D125" s="28" t="s">
        <v>521</v>
      </c>
      <c r="E125" s="29">
        <v>2000000</v>
      </c>
      <c r="F125" s="30">
        <v>1968.38</v>
      </c>
      <c r="G125" s="31">
        <v>6.2137499999999997E-3</v>
      </c>
      <c r="H125" s="24">
        <v>6.5149999999999997</v>
      </c>
    </row>
    <row r="126" spans="1:8" x14ac:dyDescent="0.2">
      <c r="A126" s="25"/>
      <c r="B126" s="25"/>
      <c r="C126" s="26" t="s">
        <v>145</v>
      </c>
      <c r="D126" s="25"/>
      <c r="E126" s="25" t="s">
        <v>146</v>
      </c>
      <c r="F126" s="32">
        <v>1968.38</v>
      </c>
      <c r="G126" s="33">
        <v>6.2137499999999997E-3</v>
      </c>
      <c r="H126" s="24" t="s">
        <v>146</v>
      </c>
    </row>
    <row r="127" spans="1:8" x14ac:dyDescent="0.2">
      <c r="A127" s="25"/>
      <c r="B127" s="25"/>
      <c r="C127" s="34"/>
      <c r="D127" s="25"/>
      <c r="E127" s="25"/>
      <c r="F127" s="35"/>
      <c r="G127" s="35"/>
      <c r="H127" s="24" t="s">
        <v>146</v>
      </c>
    </row>
    <row r="128" spans="1:8" x14ac:dyDescent="0.2">
      <c r="A128" s="25"/>
      <c r="B128" s="25"/>
      <c r="C128" s="26" t="s">
        <v>163</v>
      </c>
      <c r="D128" s="25"/>
      <c r="E128" s="25"/>
      <c r="F128" s="35"/>
      <c r="G128" s="35"/>
      <c r="H128" s="24" t="s">
        <v>146</v>
      </c>
    </row>
    <row r="129" spans="1:8" x14ac:dyDescent="0.2">
      <c r="A129" s="27">
        <v>1</v>
      </c>
      <c r="B129" s="28"/>
      <c r="C129" s="28" t="s">
        <v>164</v>
      </c>
      <c r="D129" s="28"/>
      <c r="E129" s="38"/>
      <c r="F129" s="30">
        <v>15842.321925513999</v>
      </c>
      <c r="G129" s="31">
        <v>5.0010770000000003E-2</v>
      </c>
      <c r="H129" s="24">
        <v>6.57</v>
      </c>
    </row>
    <row r="130" spans="1:8" x14ac:dyDescent="0.2">
      <c r="A130" s="25"/>
      <c r="B130" s="25"/>
      <c r="C130" s="26" t="s">
        <v>145</v>
      </c>
      <c r="D130" s="25"/>
      <c r="E130" s="25" t="s">
        <v>146</v>
      </c>
      <c r="F130" s="32">
        <v>15842.321925513999</v>
      </c>
      <c r="G130" s="33">
        <v>5.0010770000000003E-2</v>
      </c>
      <c r="H130" s="24" t="s">
        <v>146</v>
      </c>
    </row>
    <row r="131" spans="1:8" x14ac:dyDescent="0.2">
      <c r="A131" s="25"/>
      <c r="B131" s="25"/>
      <c r="C131" s="34"/>
      <c r="D131" s="25"/>
      <c r="E131" s="25"/>
      <c r="F131" s="35"/>
      <c r="G131" s="35"/>
      <c r="H131" s="24" t="s">
        <v>146</v>
      </c>
    </row>
    <row r="132" spans="1:8" x14ac:dyDescent="0.2">
      <c r="A132" s="25"/>
      <c r="B132" s="25"/>
      <c r="C132" s="26" t="s">
        <v>165</v>
      </c>
      <c r="D132" s="25"/>
      <c r="E132" s="25"/>
      <c r="F132" s="32">
        <v>17810.701925514</v>
      </c>
      <c r="G132" s="33">
        <v>5.622452E-2</v>
      </c>
      <c r="H132" s="24" t="s">
        <v>146</v>
      </c>
    </row>
    <row r="133" spans="1:8" x14ac:dyDescent="0.2">
      <c r="A133" s="25"/>
      <c r="B133" s="25"/>
      <c r="C133" s="35"/>
      <c r="D133" s="25"/>
      <c r="E133" s="25"/>
      <c r="F133" s="25"/>
      <c r="G133" s="25"/>
      <c r="H133" s="24" t="s">
        <v>146</v>
      </c>
    </row>
    <row r="134" spans="1:8" x14ac:dyDescent="0.2">
      <c r="A134" s="25"/>
      <c r="B134" s="25"/>
      <c r="C134" s="26" t="s">
        <v>166</v>
      </c>
      <c r="D134" s="25"/>
      <c r="E134" s="25"/>
      <c r="F134" s="25"/>
      <c r="G134" s="25"/>
      <c r="H134" s="24" t="s">
        <v>146</v>
      </c>
    </row>
    <row r="135" spans="1:8" x14ac:dyDescent="0.2">
      <c r="A135" s="25"/>
      <c r="B135" s="25"/>
      <c r="C135" s="26" t="s">
        <v>167</v>
      </c>
      <c r="D135" s="25"/>
      <c r="E135" s="25"/>
      <c r="F135" s="25"/>
      <c r="G135" s="25"/>
      <c r="H135" s="24" t="s">
        <v>146</v>
      </c>
    </row>
    <row r="136" spans="1:8" x14ac:dyDescent="0.2">
      <c r="A136" s="25"/>
      <c r="B136" s="25"/>
      <c r="C136" s="26" t="s">
        <v>145</v>
      </c>
      <c r="D136" s="25"/>
      <c r="E136" s="25" t="s">
        <v>146</v>
      </c>
      <c r="F136" s="36" t="s">
        <v>148</v>
      </c>
      <c r="G136" s="33">
        <v>0</v>
      </c>
      <c r="H136" s="24" t="s">
        <v>146</v>
      </c>
    </row>
    <row r="137" spans="1:8" x14ac:dyDescent="0.2">
      <c r="A137" s="25"/>
      <c r="B137" s="25"/>
      <c r="C137" s="34"/>
      <c r="D137" s="25"/>
      <c r="E137" s="25"/>
      <c r="F137" s="35"/>
      <c r="G137" s="35"/>
      <c r="H137" s="24" t="s">
        <v>146</v>
      </c>
    </row>
    <row r="138" spans="1:8" x14ac:dyDescent="0.2">
      <c r="A138" s="25"/>
      <c r="B138" s="25"/>
      <c r="C138" s="26" t="s">
        <v>168</v>
      </c>
      <c r="D138" s="25"/>
      <c r="E138" s="25"/>
      <c r="F138" s="25"/>
      <c r="G138" s="25"/>
      <c r="H138" s="24" t="s">
        <v>146</v>
      </c>
    </row>
    <row r="139" spans="1:8" x14ac:dyDescent="0.2">
      <c r="A139" s="25"/>
      <c r="B139" s="25"/>
      <c r="C139" s="26" t="s">
        <v>169</v>
      </c>
      <c r="D139" s="25"/>
      <c r="E139" s="25"/>
      <c r="F139" s="25"/>
      <c r="G139" s="25"/>
      <c r="H139" s="24" t="s">
        <v>146</v>
      </c>
    </row>
    <row r="140" spans="1:8" x14ac:dyDescent="0.2">
      <c r="A140" s="25"/>
      <c r="B140" s="25"/>
      <c r="C140" s="26" t="s">
        <v>145</v>
      </c>
      <c r="D140" s="25"/>
      <c r="E140" s="25" t="s">
        <v>146</v>
      </c>
      <c r="F140" s="36" t="s">
        <v>148</v>
      </c>
      <c r="G140" s="33">
        <v>0</v>
      </c>
      <c r="H140" s="24" t="s">
        <v>146</v>
      </c>
    </row>
    <row r="141" spans="1:8" x14ac:dyDescent="0.2">
      <c r="A141" s="25"/>
      <c r="B141" s="25"/>
      <c r="C141" s="34"/>
      <c r="D141" s="25"/>
      <c r="E141" s="25"/>
      <c r="F141" s="35"/>
      <c r="G141" s="35"/>
      <c r="H141" s="24" t="s">
        <v>146</v>
      </c>
    </row>
    <row r="142" spans="1:8" x14ac:dyDescent="0.2">
      <c r="A142" s="25"/>
      <c r="B142" s="25"/>
      <c r="C142" s="26" t="s">
        <v>170</v>
      </c>
      <c r="D142" s="25"/>
      <c r="E142" s="25"/>
      <c r="F142" s="35"/>
      <c r="G142" s="35"/>
      <c r="H142" s="24" t="s">
        <v>146</v>
      </c>
    </row>
    <row r="143" spans="1:8" x14ac:dyDescent="0.2">
      <c r="A143" s="25"/>
      <c r="B143" s="25"/>
      <c r="C143" s="26" t="s">
        <v>145</v>
      </c>
      <c r="D143" s="25"/>
      <c r="E143" s="25" t="s">
        <v>146</v>
      </c>
      <c r="F143" s="36" t="s">
        <v>148</v>
      </c>
      <c r="G143" s="33">
        <v>0</v>
      </c>
      <c r="H143" s="24" t="s">
        <v>146</v>
      </c>
    </row>
    <row r="144" spans="1:8" x14ac:dyDescent="0.2">
      <c r="A144" s="25"/>
      <c r="B144" s="25"/>
      <c r="C144" s="34"/>
      <c r="D144" s="25"/>
      <c r="E144" s="25"/>
      <c r="F144" s="35"/>
      <c r="G144" s="35"/>
      <c r="H144" s="24" t="s">
        <v>146</v>
      </c>
    </row>
    <row r="145" spans="1:17" x14ac:dyDescent="0.2">
      <c r="A145" s="38"/>
      <c r="B145" s="28"/>
      <c r="C145" s="28" t="s">
        <v>522</v>
      </c>
      <c r="D145" s="28"/>
      <c r="E145" s="38"/>
      <c r="F145" s="30">
        <v>3940.5699934999998</v>
      </c>
      <c r="G145" s="31">
        <v>1.2439520000000001E-2</v>
      </c>
      <c r="H145" s="24" t="s">
        <v>146</v>
      </c>
    </row>
    <row r="146" spans="1:17" x14ac:dyDescent="0.2">
      <c r="A146" s="38"/>
      <c r="B146" s="28"/>
      <c r="C146" s="37" t="s">
        <v>884</v>
      </c>
      <c r="D146" s="28"/>
      <c r="E146" s="38"/>
      <c r="F146" s="30">
        <f>-8073.65718572+0.00249080577850342</f>
        <v>-8073.6546949142212</v>
      </c>
      <c r="G146" s="31">
        <f>F146/F147</f>
        <v>-2.5486773096784154E-2</v>
      </c>
      <c r="H146" s="24" t="s">
        <v>146</v>
      </c>
    </row>
    <row r="147" spans="1:17" x14ac:dyDescent="0.2">
      <c r="A147" s="34"/>
      <c r="B147" s="34"/>
      <c r="C147" s="26" t="s">
        <v>172</v>
      </c>
      <c r="D147" s="35"/>
      <c r="E147" s="35"/>
      <c r="F147" s="32">
        <f>F146+F145+F132+F115+F100</f>
        <v>316778.22312989994</v>
      </c>
      <c r="G147" s="39">
        <f>G146+G145+G132+G115+G100</f>
        <v>0.9999863569032158</v>
      </c>
      <c r="H147" s="24" t="s">
        <v>146</v>
      </c>
    </row>
    <row r="148" spans="1:17" x14ac:dyDescent="0.2">
      <c r="A148" s="40"/>
      <c r="B148" s="40"/>
      <c r="C148" s="40"/>
      <c r="D148" s="41"/>
      <c r="E148" s="41"/>
      <c r="F148" s="41"/>
      <c r="G148" s="41"/>
    </row>
    <row r="149" spans="1:17" x14ac:dyDescent="0.2">
      <c r="A149" s="42"/>
      <c r="B149" s="236" t="s">
        <v>858</v>
      </c>
      <c r="C149" s="236"/>
      <c r="D149" s="236"/>
      <c r="E149" s="236"/>
      <c r="F149" s="236"/>
      <c r="G149" s="236"/>
      <c r="H149" s="236"/>
      <c r="J149" s="44"/>
    </row>
    <row r="150" spans="1:17" x14ac:dyDescent="0.2">
      <c r="A150" s="42"/>
      <c r="B150" s="236" t="s">
        <v>859</v>
      </c>
      <c r="C150" s="236"/>
      <c r="D150" s="236"/>
      <c r="E150" s="236"/>
      <c r="F150" s="236"/>
      <c r="G150" s="236"/>
      <c r="H150" s="236"/>
      <c r="J150" s="44"/>
    </row>
    <row r="151" spans="1:17" x14ac:dyDescent="0.2">
      <c r="A151" s="42"/>
      <c r="B151" s="236" t="s">
        <v>860</v>
      </c>
      <c r="C151" s="236"/>
      <c r="D151" s="236"/>
      <c r="E151" s="236"/>
      <c r="F151" s="236"/>
      <c r="G151" s="236"/>
      <c r="H151" s="236"/>
      <c r="J151" s="44"/>
    </row>
    <row r="152" spans="1:17" s="46" customFormat="1" ht="66.75" customHeight="1" x14ac:dyDescent="0.25">
      <c r="A152" s="45"/>
      <c r="B152" s="237" t="s">
        <v>861</v>
      </c>
      <c r="C152" s="237"/>
      <c r="D152" s="237"/>
      <c r="E152" s="237"/>
      <c r="F152" s="237"/>
      <c r="G152" s="237"/>
      <c r="H152" s="237"/>
      <c r="I152"/>
      <c r="J152" s="44"/>
      <c r="K152"/>
      <c r="L152"/>
      <c r="M152"/>
      <c r="N152"/>
      <c r="O152"/>
      <c r="P152"/>
      <c r="Q152"/>
    </row>
    <row r="153" spans="1:17" x14ac:dyDescent="0.2">
      <c r="A153" s="42"/>
      <c r="B153" s="236" t="s">
        <v>862</v>
      </c>
      <c r="C153" s="236"/>
      <c r="D153" s="236"/>
      <c r="E153" s="236"/>
      <c r="F153" s="236"/>
      <c r="G153" s="236"/>
      <c r="H153" s="236"/>
      <c r="J153" s="44"/>
    </row>
    <row r="154" spans="1:17" x14ac:dyDescent="0.2">
      <c r="A154" s="47"/>
      <c r="B154" s="47"/>
      <c r="C154" s="47"/>
      <c r="D154" s="48"/>
      <c r="E154" s="48"/>
      <c r="F154" s="48"/>
      <c r="G154" s="48"/>
    </row>
    <row r="155" spans="1:17" x14ac:dyDescent="0.2">
      <c r="A155" s="47"/>
      <c r="B155" s="233" t="s">
        <v>173</v>
      </c>
      <c r="C155" s="234"/>
      <c r="D155" s="235"/>
      <c r="E155" s="49"/>
      <c r="F155" s="48"/>
      <c r="G155" s="48"/>
    </row>
    <row r="156" spans="1:17" ht="25.5" customHeight="1" x14ac:dyDescent="0.2">
      <c r="A156" s="47"/>
      <c r="B156" s="231" t="s">
        <v>174</v>
      </c>
      <c r="C156" s="232"/>
      <c r="D156" s="26" t="s">
        <v>175</v>
      </c>
      <c r="E156" s="49"/>
      <c r="F156" s="48"/>
      <c r="G156" s="48"/>
    </row>
    <row r="157" spans="1:17" ht="12.75" customHeight="1" x14ac:dyDescent="0.2">
      <c r="A157" s="42"/>
      <c r="B157" s="227" t="s">
        <v>863</v>
      </c>
      <c r="C157" s="228"/>
      <c r="D157" s="50" t="str">
        <f>"Rs. "&amp;TEXT(F90,"0.00")&amp;" lacs/ #"</f>
        <v>Rs. 0.00 lacs/ #</v>
      </c>
      <c r="E157" s="51"/>
      <c r="F157" s="52"/>
      <c r="G157" s="52"/>
    </row>
    <row r="158" spans="1:17" x14ac:dyDescent="0.2">
      <c r="A158" s="47"/>
      <c r="B158" s="231" t="s">
        <v>176</v>
      </c>
      <c r="C158" s="232"/>
      <c r="D158" s="35" t="s">
        <v>146</v>
      </c>
      <c r="E158" s="49"/>
      <c r="F158" s="48"/>
      <c r="G158" s="48"/>
    </row>
    <row r="159" spans="1:17" x14ac:dyDescent="0.2">
      <c r="A159" s="53"/>
      <c r="B159" s="54" t="s">
        <v>146</v>
      </c>
      <c r="C159" s="54" t="s">
        <v>864</v>
      </c>
      <c r="D159" s="54" t="s">
        <v>177</v>
      </c>
      <c r="E159" s="53"/>
      <c r="F159" s="53"/>
      <c r="G159" s="53"/>
      <c r="H159" s="53"/>
      <c r="J159" s="44"/>
    </row>
    <row r="160" spans="1:17" x14ac:dyDescent="0.2">
      <c r="A160" s="53"/>
      <c r="B160" s="55" t="s">
        <v>178</v>
      </c>
      <c r="C160" s="56">
        <v>45657</v>
      </c>
      <c r="D160" s="56">
        <v>45688</v>
      </c>
      <c r="E160" s="53"/>
      <c r="F160" s="53"/>
      <c r="G160" s="53"/>
      <c r="J160" s="44"/>
    </row>
    <row r="161" spans="1:7" x14ac:dyDescent="0.2">
      <c r="A161" s="57"/>
      <c r="B161" s="28" t="s">
        <v>179</v>
      </c>
      <c r="C161" s="58">
        <v>284.60770000000002</v>
      </c>
      <c r="D161" s="58">
        <v>265.18209999999999</v>
      </c>
      <c r="E161" s="57"/>
      <c r="F161" s="59"/>
      <c r="G161" s="60"/>
    </row>
    <row r="162" spans="1:7" x14ac:dyDescent="0.2">
      <c r="A162" s="57"/>
      <c r="B162" s="28" t="s">
        <v>1025</v>
      </c>
      <c r="C162" s="58">
        <v>40.019300000000001</v>
      </c>
      <c r="D162" s="58">
        <v>37.287799999999997</v>
      </c>
      <c r="E162" s="57"/>
      <c r="F162" s="59"/>
      <c r="G162" s="60"/>
    </row>
    <row r="163" spans="1:7" x14ac:dyDescent="0.2">
      <c r="A163" s="57"/>
      <c r="B163" s="28" t="s">
        <v>180</v>
      </c>
      <c r="C163" s="58">
        <v>258.59370000000001</v>
      </c>
      <c r="D163" s="58">
        <v>240.71899999999999</v>
      </c>
      <c r="E163" s="57"/>
      <c r="F163" s="59"/>
      <c r="G163" s="60"/>
    </row>
    <row r="164" spans="1:7" x14ac:dyDescent="0.2">
      <c r="A164" s="57"/>
      <c r="B164" s="28" t="s">
        <v>1026</v>
      </c>
      <c r="C164" s="58">
        <v>35.384399999999999</v>
      </c>
      <c r="D164" s="58">
        <v>32.938499999999998</v>
      </c>
      <c r="E164" s="57"/>
      <c r="F164" s="59"/>
      <c r="G164" s="60"/>
    </row>
    <row r="165" spans="1:7" x14ac:dyDescent="0.2">
      <c r="A165" s="57"/>
      <c r="B165" s="57"/>
      <c r="C165" s="57"/>
      <c r="D165" s="57"/>
      <c r="E165" s="57"/>
      <c r="F165" s="57"/>
      <c r="G165" s="57"/>
    </row>
    <row r="166" spans="1:7" x14ac:dyDescent="0.2">
      <c r="A166" s="53"/>
      <c r="B166" s="227" t="s">
        <v>865</v>
      </c>
      <c r="C166" s="228"/>
      <c r="D166" s="50" t="s">
        <v>175</v>
      </c>
      <c r="E166" s="53"/>
      <c r="F166" s="53"/>
      <c r="G166" s="53"/>
    </row>
    <row r="167" spans="1:7" x14ac:dyDescent="0.2">
      <c r="A167" s="53"/>
      <c r="B167" s="74"/>
      <c r="C167" s="74"/>
      <c r="D167" s="74"/>
      <c r="E167" s="53"/>
      <c r="F167" s="53"/>
      <c r="G167" s="53"/>
    </row>
    <row r="168" spans="1:7" ht="25.5" customHeight="1" x14ac:dyDescent="0.2">
      <c r="A168" s="53"/>
      <c r="B168" s="227" t="s">
        <v>181</v>
      </c>
      <c r="C168" s="228"/>
      <c r="D168" s="50" t="s">
        <v>1091</v>
      </c>
      <c r="E168" s="64"/>
      <c r="F168" s="53"/>
      <c r="G168" s="53"/>
    </row>
    <row r="169" spans="1:7" ht="24.75" customHeight="1" x14ac:dyDescent="0.2">
      <c r="A169" s="53"/>
      <c r="B169" s="227" t="s">
        <v>182</v>
      </c>
      <c r="C169" s="228"/>
      <c r="D169" s="50" t="s">
        <v>175</v>
      </c>
      <c r="E169" s="64"/>
      <c r="F169" s="53"/>
      <c r="G169" s="53"/>
    </row>
    <row r="170" spans="1:7" x14ac:dyDescent="0.2">
      <c r="A170" s="53"/>
      <c r="B170" s="227" t="s">
        <v>183</v>
      </c>
      <c r="C170" s="228"/>
      <c r="D170" s="50" t="s">
        <v>175</v>
      </c>
      <c r="E170" s="64"/>
      <c r="F170" s="53"/>
      <c r="G170" s="53"/>
    </row>
    <row r="171" spans="1:7" x14ac:dyDescent="0.2">
      <c r="A171" s="53"/>
      <c r="B171" s="227" t="s">
        <v>184</v>
      </c>
      <c r="C171" s="228"/>
      <c r="D171" s="65">
        <v>0.76928157031228372</v>
      </c>
      <c r="E171" s="53"/>
      <c r="F171" s="43"/>
      <c r="G171" s="63"/>
    </row>
    <row r="173" spans="1:7" x14ac:dyDescent="0.2">
      <c r="B173" s="229" t="s">
        <v>866</v>
      </c>
      <c r="C173" s="229"/>
    </row>
    <row r="175" spans="1:7" ht="153.75" customHeight="1" x14ac:dyDescent="0.2"/>
    <row r="178" spans="2:10" x14ac:dyDescent="0.2">
      <c r="B178" s="66" t="s">
        <v>867</v>
      </c>
      <c r="C178" s="67"/>
      <c r="D178" s="66" t="s">
        <v>870</v>
      </c>
    </row>
    <row r="179" spans="2:10" x14ac:dyDescent="0.2">
      <c r="B179" s="66" t="s">
        <v>885</v>
      </c>
      <c r="D179" s="66" t="s">
        <v>886</v>
      </c>
    </row>
    <row r="180" spans="2:10" ht="165" customHeight="1" x14ac:dyDescent="0.2"/>
    <row r="182" spans="2:10" x14ac:dyDescent="0.2">
      <c r="J182" s="21"/>
    </row>
  </sheetData>
  <mergeCells count="18">
    <mergeCell ref="A1:H1"/>
    <mergeCell ref="A2:H2"/>
    <mergeCell ref="A3:H3"/>
    <mergeCell ref="B157:C157"/>
    <mergeCell ref="B158:C158"/>
    <mergeCell ref="B155:D155"/>
    <mergeCell ref="B156:C156"/>
    <mergeCell ref="B149:H149"/>
    <mergeCell ref="B150:H150"/>
    <mergeCell ref="B151:H151"/>
    <mergeCell ref="B152:H152"/>
    <mergeCell ref="B153:H153"/>
    <mergeCell ref="B168:C168"/>
    <mergeCell ref="B169:C169"/>
    <mergeCell ref="B173:C173"/>
    <mergeCell ref="B166:C166"/>
    <mergeCell ref="B170:C170"/>
    <mergeCell ref="B171:C171"/>
  </mergeCells>
  <hyperlinks>
    <hyperlink ref="I1" location="Index!B2" display="Index" xr:uid="{8608E4B9-D16D-4F96-A84C-56B452151E6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9E102-64C8-4E4A-8710-7F52F2383E8E}">
  <sheetPr>
    <outlinePr summaryBelow="0" summaryRight="0"/>
  </sheetPr>
  <dimension ref="A1:Q247"/>
  <sheetViews>
    <sheetView showGridLines="0" workbookViewId="0">
      <selection activeCell="C9" sqref="C9"/>
    </sheetView>
  </sheetViews>
  <sheetFormatPr defaultRowHeight="12.75" x14ac:dyDescent="0.2"/>
  <cols>
    <col min="1" max="1" width="5.85546875" bestFit="1" customWidth="1"/>
    <col min="2" max="2" width="20" bestFit="1" customWidth="1"/>
    <col min="3" max="3" width="42.7109375" customWidth="1"/>
    <col min="4" max="4" width="17.7109375" bestFit="1" customWidth="1"/>
    <col min="5" max="5" width="13.570312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523</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327</v>
      </c>
      <c r="C7" s="28" t="s">
        <v>328</v>
      </c>
      <c r="D7" s="28" t="s">
        <v>33</v>
      </c>
      <c r="E7" s="29">
        <v>1300750</v>
      </c>
      <c r="F7" s="30">
        <v>22096.490624999999</v>
      </c>
      <c r="G7" s="31">
        <v>4.0650819999999997E-2</v>
      </c>
      <c r="H7" s="24" t="s">
        <v>146</v>
      </c>
    </row>
    <row r="8" spans="1:9" x14ac:dyDescent="0.2">
      <c r="A8" s="27">
        <v>2</v>
      </c>
      <c r="B8" s="28" t="s">
        <v>31</v>
      </c>
      <c r="C8" s="28" t="s">
        <v>32</v>
      </c>
      <c r="D8" s="28" t="s">
        <v>33</v>
      </c>
      <c r="E8" s="29">
        <v>1762000</v>
      </c>
      <c r="F8" s="30">
        <v>22074.335999999999</v>
      </c>
      <c r="G8" s="31">
        <v>4.0610060000000003E-2</v>
      </c>
      <c r="H8" s="24" t="s">
        <v>146</v>
      </c>
    </row>
    <row r="9" spans="1:9" x14ac:dyDescent="0.2">
      <c r="A9" s="27">
        <v>3</v>
      </c>
      <c r="B9" s="28" t="s">
        <v>14</v>
      </c>
      <c r="C9" s="28" t="s">
        <v>15</v>
      </c>
      <c r="D9" s="28" t="s">
        <v>16</v>
      </c>
      <c r="E9" s="29">
        <v>1730000</v>
      </c>
      <c r="F9" s="30">
        <v>21886.23</v>
      </c>
      <c r="G9" s="31">
        <v>4.0264000000000001E-2</v>
      </c>
      <c r="H9" s="24" t="s">
        <v>146</v>
      </c>
    </row>
    <row r="10" spans="1:9" x14ac:dyDescent="0.2">
      <c r="A10" s="27">
        <v>4</v>
      </c>
      <c r="B10" s="28" t="s">
        <v>329</v>
      </c>
      <c r="C10" s="28" t="s">
        <v>330</v>
      </c>
      <c r="D10" s="28" t="s">
        <v>195</v>
      </c>
      <c r="E10" s="29">
        <v>930000</v>
      </c>
      <c r="F10" s="30">
        <v>17482.14</v>
      </c>
      <c r="G10" s="31">
        <v>3.2161820000000001E-2</v>
      </c>
      <c r="H10" s="24" t="s">
        <v>146</v>
      </c>
    </row>
    <row r="11" spans="1:9" x14ac:dyDescent="0.2">
      <c r="A11" s="27">
        <v>5</v>
      </c>
      <c r="B11" s="28" t="s">
        <v>17</v>
      </c>
      <c r="C11" s="28" t="s">
        <v>18</v>
      </c>
      <c r="D11" s="28" t="s">
        <v>19</v>
      </c>
      <c r="E11" s="29">
        <v>1000000</v>
      </c>
      <c r="F11" s="30">
        <v>16263</v>
      </c>
      <c r="G11" s="31">
        <v>2.991897E-2</v>
      </c>
      <c r="H11" s="24" t="s">
        <v>146</v>
      </c>
    </row>
    <row r="12" spans="1:9" x14ac:dyDescent="0.2">
      <c r="A12" s="27">
        <v>6</v>
      </c>
      <c r="B12" s="28" t="s">
        <v>11</v>
      </c>
      <c r="C12" s="28" t="s">
        <v>12</v>
      </c>
      <c r="D12" s="28" t="s">
        <v>13</v>
      </c>
      <c r="E12" s="29">
        <v>316000</v>
      </c>
      <c r="F12" s="30">
        <v>11272.984</v>
      </c>
      <c r="G12" s="31">
        <v>2.0738860000000001E-2</v>
      </c>
      <c r="H12" s="24" t="s">
        <v>146</v>
      </c>
    </row>
    <row r="13" spans="1:9" x14ac:dyDescent="0.2">
      <c r="A13" s="27">
        <v>7</v>
      </c>
      <c r="B13" s="28" t="s">
        <v>48</v>
      </c>
      <c r="C13" s="28" t="s">
        <v>49</v>
      </c>
      <c r="D13" s="28" t="s">
        <v>33</v>
      </c>
      <c r="E13" s="29">
        <v>1398761</v>
      </c>
      <c r="F13" s="30">
        <v>10811.023768999999</v>
      </c>
      <c r="G13" s="31">
        <v>1.9888989999999999E-2</v>
      </c>
      <c r="H13" s="24" t="s">
        <v>146</v>
      </c>
    </row>
    <row r="14" spans="1:9" x14ac:dyDescent="0.2">
      <c r="A14" s="27">
        <v>8</v>
      </c>
      <c r="B14" s="28" t="s">
        <v>191</v>
      </c>
      <c r="C14" s="28" t="s">
        <v>192</v>
      </c>
      <c r="D14" s="28" t="s">
        <v>39</v>
      </c>
      <c r="E14" s="29">
        <v>1850000</v>
      </c>
      <c r="F14" s="30">
        <v>9307.35</v>
      </c>
      <c r="G14" s="31">
        <v>1.7122689999999999E-2</v>
      </c>
      <c r="H14" s="24" t="s">
        <v>146</v>
      </c>
    </row>
    <row r="15" spans="1:9" ht="25.5" x14ac:dyDescent="0.2">
      <c r="A15" s="27">
        <v>9</v>
      </c>
      <c r="B15" s="28" t="s">
        <v>337</v>
      </c>
      <c r="C15" s="28" t="s">
        <v>338</v>
      </c>
      <c r="D15" s="28" t="s">
        <v>198</v>
      </c>
      <c r="E15" s="29">
        <v>525000</v>
      </c>
      <c r="F15" s="30">
        <v>9155.7374999999993</v>
      </c>
      <c r="G15" s="31">
        <v>1.6843770000000001E-2</v>
      </c>
      <c r="H15" s="24" t="s">
        <v>146</v>
      </c>
    </row>
    <row r="16" spans="1:9" x14ac:dyDescent="0.2">
      <c r="A16" s="27">
        <v>10</v>
      </c>
      <c r="B16" s="28" t="s">
        <v>333</v>
      </c>
      <c r="C16" s="28" t="s">
        <v>334</v>
      </c>
      <c r="D16" s="28" t="s">
        <v>33</v>
      </c>
      <c r="E16" s="29">
        <v>466117</v>
      </c>
      <c r="F16" s="30">
        <v>8862.2825209999992</v>
      </c>
      <c r="G16" s="31">
        <v>1.63039E-2</v>
      </c>
      <c r="H16" s="24" t="s">
        <v>146</v>
      </c>
    </row>
    <row r="17" spans="1:8" x14ac:dyDescent="0.2">
      <c r="A17" s="27">
        <v>11</v>
      </c>
      <c r="B17" s="28" t="s">
        <v>339</v>
      </c>
      <c r="C17" s="28" t="s">
        <v>340</v>
      </c>
      <c r="D17" s="28" t="s">
        <v>33</v>
      </c>
      <c r="E17" s="29">
        <v>837153</v>
      </c>
      <c r="F17" s="30">
        <v>8255.1657329999998</v>
      </c>
      <c r="G17" s="31">
        <v>1.5186989999999999E-2</v>
      </c>
      <c r="H17" s="24" t="s">
        <v>146</v>
      </c>
    </row>
    <row r="18" spans="1:8" x14ac:dyDescent="0.2">
      <c r="A18" s="27">
        <v>12</v>
      </c>
      <c r="B18" s="28" t="s">
        <v>435</v>
      </c>
      <c r="C18" s="28" t="s">
        <v>436</v>
      </c>
      <c r="D18" s="28" t="s">
        <v>195</v>
      </c>
      <c r="E18" s="29">
        <v>466000</v>
      </c>
      <c r="F18" s="30">
        <v>8040.5969999999998</v>
      </c>
      <c r="G18" s="31">
        <v>1.479225E-2</v>
      </c>
      <c r="H18" s="24" t="s">
        <v>146</v>
      </c>
    </row>
    <row r="19" spans="1:8" x14ac:dyDescent="0.2">
      <c r="A19" s="27">
        <v>13</v>
      </c>
      <c r="B19" s="28" t="s">
        <v>37</v>
      </c>
      <c r="C19" s="28" t="s">
        <v>38</v>
      </c>
      <c r="D19" s="28" t="s">
        <v>39</v>
      </c>
      <c r="E19" s="29">
        <v>113905</v>
      </c>
      <c r="F19" s="30">
        <v>7405.8752899999999</v>
      </c>
      <c r="G19" s="31">
        <v>1.3624560000000001E-2</v>
      </c>
      <c r="H19" s="24" t="s">
        <v>146</v>
      </c>
    </row>
    <row r="20" spans="1:8" x14ac:dyDescent="0.2">
      <c r="A20" s="27">
        <v>14</v>
      </c>
      <c r="B20" s="28" t="s">
        <v>269</v>
      </c>
      <c r="C20" s="28" t="s">
        <v>270</v>
      </c>
      <c r="D20" s="28" t="s">
        <v>120</v>
      </c>
      <c r="E20" s="29">
        <v>1332500</v>
      </c>
      <c r="F20" s="30">
        <v>7245.46875</v>
      </c>
      <c r="G20" s="31">
        <v>1.332946E-2</v>
      </c>
      <c r="H20" s="24" t="s">
        <v>146</v>
      </c>
    </row>
    <row r="21" spans="1:8" x14ac:dyDescent="0.2">
      <c r="A21" s="27">
        <v>15</v>
      </c>
      <c r="B21" s="28" t="s">
        <v>524</v>
      </c>
      <c r="C21" s="28" t="s">
        <v>525</v>
      </c>
      <c r="D21" s="28" t="s">
        <v>226</v>
      </c>
      <c r="E21" s="29">
        <v>500000</v>
      </c>
      <c r="F21" s="30">
        <v>7120</v>
      </c>
      <c r="G21" s="31">
        <v>1.309863E-2</v>
      </c>
      <c r="H21" s="24" t="s">
        <v>146</v>
      </c>
    </row>
    <row r="22" spans="1:8" x14ac:dyDescent="0.2">
      <c r="A22" s="27">
        <v>16</v>
      </c>
      <c r="B22" s="28" t="s">
        <v>526</v>
      </c>
      <c r="C22" s="28" t="s">
        <v>527</v>
      </c>
      <c r="D22" s="28" t="s">
        <v>275</v>
      </c>
      <c r="E22" s="29">
        <v>54000</v>
      </c>
      <c r="F22" s="30">
        <v>6647.7510000000002</v>
      </c>
      <c r="G22" s="31">
        <v>1.2229840000000001E-2</v>
      </c>
      <c r="H22" s="24" t="s">
        <v>146</v>
      </c>
    </row>
    <row r="23" spans="1:8" x14ac:dyDescent="0.2">
      <c r="A23" s="27">
        <v>17</v>
      </c>
      <c r="B23" s="28" t="s">
        <v>481</v>
      </c>
      <c r="C23" s="28" t="s">
        <v>482</v>
      </c>
      <c r="D23" s="28" t="s">
        <v>83</v>
      </c>
      <c r="E23" s="29">
        <v>225000</v>
      </c>
      <c r="F23" s="30">
        <v>6427.4624999999996</v>
      </c>
      <c r="G23" s="31">
        <v>1.1824579999999999E-2</v>
      </c>
      <c r="H23" s="24" t="s">
        <v>146</v>
      </c>
    </row>
    <row r="24" spans="1:8" ht="25.5" x14ac:dyDescent="0.2">
      <c r="A24" s="27">
        <v>18</v>
      </c>
      <c r="B24" s="28" t="s">
        <v>188</v>
      </c>
      <c r="C24" s="28" t="s">
        <v>189</v>
      </c>
      <c r="D24" s="28" t="s">
        <v>190</v>
      </c>
      <c r="E24" s="29">
        <v>350000</v>
      </c>
      <c r="F24" s="30">
        <v>6333.4250000000002</v>
      </c>
      <c r="G24" s="31">
        <v>1.165157E-2</v>
      </c>
      <c r="H24" s="24" t="s">
        <v>146</v>
      </c>
    </row>
    <row r="25" spans="1:8" x14ac:dyDescent="0.2">
      <c r="A25" s="27">
        <v>19</v>
      </c>
      <c r="B25" s="28" t="s">
        <v>43</v>
      </c>
      <c r="C25" s="28" t="s">
        <v>44</v>
      </c>
      <c r="D25" s="28" t="s">
        <v>16</v>
      </c>
      <c r="E25" s="29">
        <v>2400000</v>
      </c>
      <c r="F25" s="30">
        <v>6266.4</v>
      </c>
      <c r="G25" s="31">
        <v>1.152827E-2</v>
      </c>
      <c r="H25" s="24" t="s">
        <v>146</v>
      </c>
    </row>
    <row r="26" spans="1:8" x14ac:dyDescent="0.2">
      <c r="A26" s="27">
        <v>20</v>
      </c>
      <c r="B26" s="28" t="s">
        <v>20</v>
      </c>
      <c r="C26" s="28" t="s">
        <v>21</v>
      </c>
      <c r="D26" s="28" t="s">
        <v>22</v>
      </c>
      <c r="E26" s="29">
        <v>1855000</v>
      </c>
      <c r="F26" s="30">
        <v>6010.2</v>
      </c>
      <c r="G26" s="31">
        <v>1.1056939999999999E-2</v>
      </c>
      <c r="H26" s="24" t="s">
        <v>146</v>
      </c>
    </row>
    <row r="27" spans="1:8" x14ac:dyDescent="0.2">
      <c r="A27" s="27">
        <v>21</v>
      </c>
      <c r="B27" s="28" t="s">
        <v>271</v>
      </c>
      <c r="C27" s="28" t="s">
        <v>272</v>
      </c>
      <c r="D27" s="28" t="s">
        <v>83</v>
      </c>
      <c r="E27" s="29">
        <v>600000</v>
      </c>
      <c r="F27" s="30">
        <v>5673.6</v>
      </c>
      <c r="G27" s="31">
        <v>1.0437699999999999E-2</v>
      </c>
      <c r="H27" s="24" t="s">
        <v>146</v>
      </c>
    </row>
    <row r="28" spans="1:8" x14ac:dyDescent="0.2">
      <c r="A28" s="27">
        <v>22</v>
      </c>
      <c r="B28" s="28" t="s">
        <v>335</v>
      </c>
      <c r="C28" s="28" t="s">
        <v>336</v>
      </c>
      <c r="D28" s="28" t="s">
        <v>195</v>
      </c>
      <c r="E28" s="29">
        <v>137500</v>
      </c>
      <c r="F28" s="30">
        <v>5654.55</v>
      </c>
      <c r="G28" s="31">
        <v>1.0402649999999999E-2</v>
      </c>
      <c r="H28" s="24" t="s">
        <v>146</v>
      </c>
    </row>
    <row r="29" spans="1:8" ht="25.5" x14ac:dyDescent="0.2">
      <c r="A29" s="27">
        <v>23</v>
      </c>
      <c r="B29" s="28" t="s">
        <v>23</v>
      </c>
      <c r="C29" s="28" t="s">
        <v>24</v>
      </c>
      <c r="D29" s="28" t="s">
        <v>25</v>
      </c>
      <c r="E29" s="29">
        <v>48500</v>
      </c>
      <c r="F29" s="30">
        <v>5571.4132499999996</v>
      </c>
      <c r="G29" s="31">
        <v>1.024971E-2</v>
      </c>
      <c r="H29" s="24" t="s">
        <v>146</v>
      </c>
    </row>
    <row r="30" spans="1:8" ht="25.5" x14ac:dyDescent="0.2">
      <c r="A30" s="27">
        <v>24</v>
      </c>
      <c r="B30" s="28" t="s">
        <v>229</v>
      </c>
      <c r="C30" s="28" t="s">
        <v>230</v>
      </c>
      <c r="D30" s="28" t="s">
        <v>198</v>
      </c>
      <c r="E30" s="29">
        <v>110000</v>
      </c>
      <c r="F30" s="30">
        <v>5569.3549999999996</v>
      </c>
      <c r="G30" s="31">
        <v>1.024592E-2</v>
      </c>
      <c r="H30" s="24" t="s">
        <v>146</v>
      </c>
    </row>
    <row r="31" spans="1:8" x14ac:dyDescent="0.2">
      <c r="A31" s="27">
        <v>25</v>
      </c>
      <c r="B31" s="28" t="s">
        <v>343</v>
      </c>
      <c r="C31" s="28" t="s">
        <v>344</v>
      </c>
      <c r="D31" s="28" t="s">
        <v>226</v>
      </c>
      <c r="E31" s="29">
        <v>960000</v>
      </c>
      <c r="F31" s="30">
        <v>5152.8</v>
      </c>
      <c r="G31" s="31">
        <v>9.4795799999999996E-3</v>
      </c>
      <c r="H31" s="24" t="s">
        <v>146</v>
      </c>
    </row>
    <row r="32" spans="1:8" x14ac:dyDescent="0.2">
      <c r="A32" s="27">
        <v>26</v>
      </c>
      <c r="B32" s="28" t="s">
        <v>528</v>
      </c>
      <c r="C32" s="28" t="s">
        <v>529</v>
      </c>
      <c r="D32" s="28" t="s">
        <v>275</v>
      </c>
      <c r="E32" s="29">
        <v>57000</v>
      </c>
      <c r="F32" s="30">
        <v>5043.2460000000001</v>
      </c>
      <c r="G32" s="31">
        <v>9.2780399999999996E-3</v>
      </c>
      <c r="H32" s="24" t="s">
        <v>146</v>
      </c>
    </row>
    <row r="33" spans="1:8" ht="25.5" x14ac:dyDescent="0.2">
      <c r="A33" s="27">
        <v>27</v>
      </c>
      <c r="B33" s="28" t="s">
        <v>238</v>
      </c>
      <c r="C33" s="28" t="s">
        <v>239</v>
      </c>
      <c r="D33" s="28" t="s">
        <v>198</v>
      </c>
      <c r="E33" s="29">
        <v>480000</v>
      </c>
      <c r="F33" s="30">
        <v>4657.2</v>
      </c>
      <c r="G33" s="31">
        <v>8.5678300000000002E-3</v>
      </c>
      <c r="H33" s="24" t="s">
        <v>146</v>
      </c>
    </row>
    <row r="34" spans="1:8" x14ac:dyDescent="0.2">
      <c r="A34" s="27">
        <v>28</v>
      </c>
      <c r="B34" s="28" t="s">
        <v>287</v>
      </c>
      <c r="C34" s="28" t="s">
        <v>288</v>
      </c>
      <c r="D34" s="28" t="s">
        <v>233</v>
      </c>
      <c r="E34" s="29">
        <v>125000</v>
      </c>
      <c r="F34" s="30">
        <v>4504.375</v>
      </c>
      <c r="G34" s="31">
        <v>8.2866799999999994E-3</v>
      </c>
      <c r="H34" s="24" t="s">
        <v>146</v>
      </c>
    </row>
    <row r="35" spans="1:8" ht="25.5" x14ac:dyDescent="0.2">
      <c r="A35" s="27">
        <v>29</v>
      </c>
      <c r="B35" s="28" t="s">
        <v>345</v>
      </c>
      <c r="C35" s="28" t="s">
        <v>346</v>
      </c>
      <c r="D35" s="28" t="s">
        <v>198</v>
      </c>
      <c r="E35" s="29">
        <v>365000</v>
      </c>
      <c r="F35" s="30">
        <v>4443.3275000000003</v>
      </c>
      <c r="G35" s="31">
        <v>8.1743700000000002E-3</v>
      </c>
      <c r="H35" s="24" t="s">
        <v>146</v>
      </c>
    </row>
    <row r="36" spans="1:8" x14ac:dyDescent="0.2">
      <c r="A36" s="27">
        <v>30</v>
      </c>
      <c r="B36" s="28" t="s">
        <v>199</v>
      </c>
      <c r="C36" s="28" t="s">
        <v>200</v>
      </c>
      <c r="D36" s="28" t="s">
        <v>33</v>
      </c>
      <c r="E36" s="29">
        <v>790000</v>
      </c>
      <c r="F36" s="30">
        <v>4390.4250000000002</v>
      </c>
      <c r="G36" s="31">
        <v>8.0770500000000005E-3</v>
      </c>
      <c r="H36" s="24" t="s">
        <v>146</v>
      </c>
    </row>
    <row r="37" spans="1:8" ht="25.5" x14ac:dyDescent="0.2">
      <c r="A37" s="27">
        <v>31</v>
      </c>
      <c r="B37" s="28" t="s">
        <v>443</v>
      </c>
      <c r="C37" s="28" t="s">
        <v>444</v>
      </c>
      <c r="D37" s="28" t="s">
        <v>218</v>
      </c>
      <c r="E37" s="29">
        <v>428185</v>
      </c>
      <c r="F37" s="30">
        <v>4387.3976025000002</v>
      </c>
      <c r="G37" s="31">
        <v>8.0714800000000007E-3</v>
      </c>
      <c r="H37" s="24" t="s">
        <v>146</v>
      </c>
    </row>
    <row r="38" spans="1:8" x14ac:dyDescent="0.2">
      <c r="A38" s="27">
        <v>32</v>
      </c>
      <c r="B38" s="28" t="s">
        <v>530</v>
      </c>
      <c r="C38" s="28" t="s">
        <v>531</v>
      </c>
      <c r="D38" s="28" t="s">
        <v>195</v>
      </c>
      <c r="E38" s="29">
        <v>254000</v>
      </c>
      <c r="F38" s="30">
        <v>4253.1030000000001</v>
      </c>
      <c r="G38" s="31">
        <v>7.8244200000000003E-3</v>
      </c>
      <c r="H38" s="24" t="s">
        <v>146</v>
      </c>
    </row>
    <row r="39" spans="1:8" x14ac:dyDescent="0.2">
      <c r="A39" s="27">
        <v>33</v>
      </c>
      <c r="B39" s="28" t="s">
        <v>278</v>
      </c>
      <c r="C39" s="28" t="s">
        <v>279</v>
      </c>
      <c r="D39" s="28" t="s">
        <v>280</v>
      </c>
      <c r="E39" s="29">
        <v>675000</v>
      </c>
      <c r="F39" s="30">
        <v>4158</v>
      </c>
      <c r="G39" s="31">
        <v>7.6494500000000003E-3</v>
      </c>
      <c r="H39" s="24" t="s">
        <v>146</v>
      </c>
    </row>
    <row r="40" spans="1:8" ht="25.5" x14ac:dyDescent="0.2">
      <c r="A40" s="27">
        <v>34</v>
      </c>
      <c r="B40" s="28" t="s">
        <v>196</v>
      </c>
      <c r="C40" s="28" t="s">
        <v>197</v>
      </c>
      <c r="D40" s="28" t="s">
        <v>198</v>
      </c>
      <c r="E40" s="29">
        <v>195000</v>
      </c>
      <c r="F40" s="30">
        <v>4056.8775000000001</v>
      </c>
      <c r="G40" s="31">
        <v>7.4634200000000001E-3</v>
      </c>
      <c r="H40" s="24" t="s">
        <v>146</v>
      </c>
    </row>
    <row r="41" spans="1:8" x14ac:dyDescent="0.2">
      <c r="A41" s="27">
        <v>35</v>
      </c>
      <c r="B41" s="28" t="s">
        <v>221</v>
      </c>
      <c r="C41" s="28" t="s">
        <v>222</v>
      </c>
      <c r="D41" s="28" t="s">
        <v>223</v>
      </c>
      <c r="E41" s="29">
        <v>569100</v>
      </c>
      <c r="F41" s="30">
        <v>4005.8948999999998</v>
      </c>
      <c r="G41" s="31">
        <v>7.3696300000000003E-3</v>
      </c>
      <c r="H41" s="24" t="s">
        <v>146</v>
      </c>
    </row>
    <row r="42" spans="1:8" ht="25.5" x14ac:dyDescent="0.2">
      <c r="A42" s="27">
        <v>36</v>
      </c>
      <c r="B42" s="28" t="s">
        <v>369</v>
      </c>
      <c r="C42" s="28" t="s">
        <v>370</v>
      </c>
      <c r="D42" s="28" t="s">
        <v>25</v>
      </c>
      <c r="E42" s="29">
        <v>156191</v>
      </c>
      <c r="F42" s="30">
        <v>3918.5979035</v>
      </c>
      <c r="G42" s="31">
        <v>7.20903E-3</v>
      </c>
      <c r="H42" s="24" t="s">
        <v>146</v>
      </c>
    </row>
    <row r="43" spans="1:8" x14ac:dyDescent="0.2">
      <c r="A43" s="27">
        <v>37</v>
      </c>
      <c r="B43" s="28" t="s">
        <v>532</v>
      </c>
      <c r="C43" s="28" t="s">
        <v>533</v>
      </c>
      <c r="D43" s="28" t="s">
        <v>275</v>
      </c>
      <c r="E43" s="29">
        <v>130000</v>
      </c>
      <c r="F43" s="30">
        <v>3886.8049999999998</v>
      </c>
      <c r="G43" s="31">
        <v>7.1505400000000004E-3</v>
      </c>
      <c r="H43" s="24" t="s">
        <v>146</v>
      </c>
    </row>
    <row r="44" spans="1:8" x14ac:dyDescent="0.2">
      <c r="A44" s="27">
        <v>38</v>
      </c>
      <c r="B44" s="28" t="s">
        <v>534</v>
      </c>
      <c r="C44" s="28" t="s">
        <v>535</v>
      </c>
      <c r="D44" s="28" t="s">
        <v>120</v>
      </c>
      <c r="E44" s="29">
        <v>365785</v>
      </c>
      <c r="F44" s="30">
        <v>3643.0357075000002</v>
      </c>
      <c r="G44" s="31">
        <v>6.70208E-3</v>
      </c>
      <c r="H44" s="24" t="s">
        <v>146</v>
      </c>
    </row>
    <row r="45" spans="1:8" x14ac:dyDescent="0.2">
      <c r="A45" s="27">
        <v>39</v>
      </c>
      <c r="B45" s="28" t="s">
        <v>110</v>
      </c>
      <c r="C45" s="28" t="s">
        <v>111</v>
      </c>
      <c r="D45" s="28" t="s">
        <v>42</v>
      </c>
      <c r="E45" s="29">
        <v>125000</v>
      </c>
      <c r="F45" s="30">
        <v>3642.5625</v>
      </c>
      <c r="G45" s="31">
        <v>6.70121E-3</v>
      </c>
      <c r="H45" s="24" t="s">
        <v>146</v>
      </c>
    </row>
    <row r="46" spans="1:8" x14ac:dyDescent="0.2">
      <c r="A46" s="27">
        <v>40</v>
      </c>
      <c r="B46" s="28" t="s">
        <v>69</v>
      </c>
      <c r="C46" s="28" t="s">
        <v>70</v>
      </c>
      <c r="D46" s="28" t="s">
        <v>22</v>
      </c>
      <c r="E46" s="29">
        <v>925000</v>
      </c>
      <c r="F46" s="30">
        <v>3371.625</v>
      </c>
      <c r="G46" s="31">
        <v>6.2027599999999999E-3</v>
      </c>
      <c r="H46" s="24" t="s">
        <v>146</v>
      </c>
    </row>
    <row r="47" spans="1:8" x14ac:dyDescent="0.2">
      <c r="A47" s="27">
        <v>41</v>
      </c>
      <c r="B47" s="28" t="s">
        <v>433</v>
      </c>
      <c r="C47" s="28" t="s">
        <v>434</v>
      </c>
      <c r="D47" s="28" t="s">
        <v>280</v>
      </c>
      <c r="E47" s="29">
        <v>225000</v>
      </c>
      <c r="F47" s="30">
        <v>3338.1</v>
      </c>
      <c r="G47" s="31">
        <v>6.1410900000000001E-3</v>
      </c>
      <c r="H47" s="24" t="s">
        <v>146</v>
      </c>
    </row>
    <row r="48" spans="1:8" x14ac:dyDescent="0.2">
      <c r="A48" s="27">
        <v>42</v>
      </c>
      <c r="B48" s="28" t="s">
        <v>283</v>
      </c>
      <c r="C48" s="28" t="s">
        <v>284</v>
      </c>
      <c r="D48" s="28" t="s">
        <v>83</v>
      </c>
      <c r="E48" s="29">
        <v>100000</v>
      </c>
      <c r="F48" s="30">
        <v>3322.1</v>
      </c>
      <c r="G48" s="31">
        <v>6.1116499999999997E-3</v>
      </c>
      <c r="H48" s="24" t="s">
        <v>146</v>
      </c>
    </row>
    <row r="49" spans="1:8" ht="25.5" x14ac:dyDescent="0.2">
      <c r="A49" s="27">
        <v>43</v>
      </c>
      <c r="B49" s="28" t="s">
        <v>216</v>
      </c>
      <c r="C49" s="28" t="s">
        <v>217</v>
      </c>
      <c r="D49" s="28" t="s">
        <v>218</v>
      </c>
      <c r="E49" s="29">
        <v>495000</v>
      </c>
      <c r="F49" s="30">
        <v>3319.7175000000002</v>
      </c>
      <c r="G49" s="31">
        <v>6.1072699999999997E-3</v>
      </c>
      <c r="H49" s="24" t="s">
        <v>146</v>
      </c>
    </row>
    <row r="50" spans="1:8" x14ac:dyDescent="0.2">
      <c r="A50" s="27">
        <v>44</v>
      </c>
      <c r="B50" s="28" t="s">
        <v>347</v>
      </c>
      <c r="C50" s="28" t="s">
        <v>348</v>
      </c>
      <c r="D50" s="28" t="s">
        <v>349</v>
      </c>
      <c r="E50" s="29">
        <v>720000</v>
      </c>
      <c r="F50" s="30">
        <v>3222</v>
      </c>
      <c r="G50" s="31">
        <v>5.9274999999999996E-3</v>
      </c>
      <c r="H50" s="24" t="s">
        <v>146</v>
      </c>
    </row>
    <row r="51" spans="1:8" x14ac:dyDescent="0.2">
      <c r="A51" s="27">
        <v>45</v>
      </c>
      <c r="B51" s="28" t="s">
        <v>206</v>
      </c>
      <c r="C51" s="28" t="s">
        <v>207</v>
      </c>
      <c r="D51" s="28" t="s">
        <v>208</v>
      </c>
      <c r="E51" s="29">
        <v>500000</v>
      </c>
      <c r="F51" s="30">
        <v>3201</v>
      </c>
      <c r="G51" s="31">
        <v>5.88887E-3</v>
      </c>
      <c r="H51" s="24" t="s">
        <v>146</v>
      </c>
    </row>
    <row r="52" spans="1:8" x14ac:dyDescent="0.2">
      <c r="A52" s="27">
        <v>46</v>
      </c>
      <c r="B52" s="28" t="s">
        <v>28</v>
      </c>
      <c r="C52" s="28" t="s">
        <v>29</v>
      </c>
      <c r="D52" s="28" t="s">
        <v>30</v>
      </c>
      <c r="E52" s="29">
        <v>1089657</v>
      </c>
      <c r="F52" s="30">
        <v>3188.8812105000002</v>
      </c>
      <c r="G52" s="31">
        <v>5.8665699999999998E-3</v>
      </c>
      <c r="H52" s="24" t="s">
        <v>146</v>
      </c>
    </row>
    <row r="53" spans="1:8" x14ac:dyDescent="0.2">
      <c r="A53" s="27">
        <v>47</v>
      </c>
      <c r="B53" s="28" t="s">
        <v>305</v>
      </c>
      <c r="C53" s="28" t="s">
        <v>306</v>
      </c>
      <c r="D53" s="28" t="s">
        <v>39</v>
      </c>
      <c r="E53" s="29">
        <v>251000</v>
      </c>
      <c r="F53" s="30">
        <v>3164.7334999999998</v>
      </c>
      <c r="G53" s="31">
        <v>5.8221499999999999E-3</v>
      </c>
      <c r="H53" s="24" t="s">
        <v>146</v>
      </c>
    </row>
    <row r="54" spans="1:8" x14ac:dyDescent="0.2">
      <c r="A54" s="27">
        <v>48</v>
      </c>
      <c r="B54" s="28" t="s">
        <v>536</v>
      </c>
      <c r="C54" s="28" t="s">
        <v>537</v>
      </c>
      <c r="D54" s="28" t="s">
        <v>83</v>
      </c>
      <c r="E54" s="29">
        <v>289043</v>
      </c>
      <c r="F54" s="30">
        <v>2990.5833994999998</v>
      </c>
      <c r="G54" s="31">
        <v>5.5017599999999996E-3</v>
      </c>
      <c r="H54" s="24" t="s">
        <v>146</v>
      </c>
    </row>
    <row r="55" spans="1:8" x14ac:dyDescent="0.2">
      <c r="A55" s="27">
        <v>49</v>
      </c>
      <c r="B55" s="28" t="s">
        <v>331</v>
      </c>
      <c r="C55" s="28" t="s">
        <v>332</v>
      </c>
      <c r="D55" s="28" t="s">
        <v>205</v>
      </c>
      <c r="E55" s="29">
        <v>1330000</v>
      </c>
      <c r="F55" s="30">
        <v>2930.6550000000002</v>
      </c>
      <c r="G55" s="31">
        <v>5.3915100000000004E-3</v>
      </c>
      <c r="H55" s="24" t="s">
        <v>146</v>
      </c>
    </row>
    <row r="56" spans="1:8" x14ac:dyDescent="0.2">
      <c r="A56" s="27">
        <v>50</v>
      </c>
      <c r="B56" s="28" t="s">
        <v>114</v>
      </c>
      <c r="C56" s="28" t="s">
        <v>115</v>
      </c>
      <c r="D56" s="28" t="s">
        <v>83</v>
      </c>
      <c r="E56" s="29">
        <v>85500</v>
      </c>
      <c r="F56" s="30">
        <v>2929.0590000000002</v>
      </c>
      <c r="G56" s="31">
        <v>5.3885799999999996E-3</v>
      </c>
      <c r="H56" s="24" t="s">
        <v>146</v>
      </c>
    </row>
    <row r="57" spans="1:8" x14ac:dyDescent="0.2">
      <c r="A57" s="27">
        <v>51</v>
      </c>
      <c r="B57" s="28" t="s">
        <v>357</v>
      </c>
      <c r="C57" s="28" t="s">
        <v>358</v>
      </c>
      <c r="D57" s="28" t="s">
        <v>275</v>
      </c>
      <c r="E57" s="29">
        <v>400000</v>
      </c>
      <c r="F57" s="30">
        <v>2864.4</v>
      </c>
      <c r="G57" s="31">
        <v>5.26962E-3</v>
      </c>
      <c r="H57" s="24" t="s">
        <v>146</v>
      </c>
    </row>
    <row r="58" spans="1:8" x14ac:dyDescent="0.2">
      <c r="A58" s="27">
        <v>52</v>
      </c>
      <c r="B58" s="28" t="s">
        <v>242</v>
      </c>
      <c r="C58" s="28" t="s">
        <v>243</v>
      </c>
      <c r="D58" s="28" t="s">
        <v>33</v>
      </c>
      <c r="E58" s="29">
        <v>2450000</v>
      </c>
      <c r="F58" s="30">
        <v>2829.5050000000001</v>
      </c>
      <c r="G58" s="31">
        <v>5.2054299999999996E-3</v>
      </c>
      <c r="H58" s="24" t="s">
        <v>146</v>
      </c>
    </row>
    <row r="59" spans="1:8" x14ac:dyDescent="0.2">
      <c r="A59" s="27">
        <v>53</v>
      </c>
      <c r="B59" s="28" t="s">
        <v>92</v>
      </c>
      <c r="C59" s="28" t="s">
        <v>93</v>
      </c>
      <c r="D59" s="28" t="s">
        <v>83</v>
      </c>
      <c r="E59" s="29">
        <v>62642</v>
      </c>
      <c r="F59" s="30">
        <v>2616.6816239999998</v>
      </c>
      <c r="G59" s="31">
        <v>4.8139000000000003E-3</v>
      </c>
      <c r="H59" s="24" t="s">
        <v>146</v>
      </c>
    </row>
    <row r="60" spans="1:8" x14ac:dyDescent="0.2">
      <c r="A60" s="27">
        <v>54</v>
      </c>
      <c r="B60" s="28" t="s">
        <v>76</v>
      </c>
      <c r="C60" s="28" t="s">
        <v>77</v>
      </c>
      <c r="D60" s="28" t="s">
        <v>19</v>
      </c>
      <c r="E60" s="29">
        <v>748686</v>
      </c>
      <c r="F60" s="30">
        <v>2599.4377920000002</v>
      </c>
      <c r="G60" s="31">
        <v>4.7821699999999997E-3</v>
      </c>
      <c r="H60" s="24" t="s">
        <v>146</v>
      </c>
    </row>
    <row r="61" spans="1:8" x14ac:dyDescent="0.2">
      <c r="A61" s="27">
        <v>55</v>
      </c>
      <c r="B61" s="28" t="s">
        <v>309</v>
      </c>
      <c r="C61" s="28" t="s">
        <v>310</v>
      </c>
      <c r="D61" s="28" t="s">
        <v>223</v>
      </c>
      <c r="E61" s="29">
        <v>300000</v>
      </c>
      <c r="F61" s="30">
        <v>2294.1</v>
      </c>
      <c r="G61" s="31">
        <v>4.2204499999999997E-3</v>
      </c>
      <c r="H61" s="24" t="s">
        <v>146</v>
      </c>
    </row>
    <row r="62" spans="1:8" x14ac:dyDescent="0.2">
      <c r="A62" s="27">
        <v>56</v>
      </c>
      <c r="B62" s="28" t="s">
        <v>250</v>
      </c>
      <c r="C62" s="28" t="s">
        <v>251</v>
      </c>
      <c r="D62" s="28" t="s">
        <v>42</v>
      </c>
      <c r="E62" s="29">
        <v>37500</v>
      </c>
      <c r="F62" s="30">
        <v>2264.2312499999998</v>
      </c>
      <c r="G62" s="31">
        <v>4.1654999999999999E-3</v>
      </c>
      <c r="H62" s="24" t="s">
        <v>146</v>
      </c>
    </row>
    <row r="63" spans="1:8" x14ac:dyDescent="0.2">
      <c r="A63" s="27">
        <v>57</v>
      </c>
      <c r="B63" s="28" t="s">
        <v>240</v>
      </c>
      <c r="C63" s="28" t="s">
        <v>241</v>
      </c>
      <c r="D63" s="28" t="s">
        <v>195</v>
      </c>
      <c r="E63" s="29">
        <v>75625</v>
      </c>
      <c r="F63" s="30">
        <v>2168.8871875</v>
      </c>
      <c r="G63" s="31">
        <v>3.99009E-3</v>
      </c>
      <c r="H63" s="24" t="s">
        <v>146</v>
      </c>
    </row>
    <row r="64" spans="1:8" x14ac:dyDescent="0.2">
      <c r="A64" s="27">
        <v>58</v>
      </c>
      <c r="B64" s="28" t="s">
        <v>125</v>
      </c>
      <c r="C64" s="28" t="s">
        <v>126</v>
      </c>
      <c r="D64" s="28" t="s">
        <v>80</v>
      </c>
      <c r="E64" s="29">
        <v>675000</v>
      </c>
      <c r="F64" s="30">
        <v>2167.0875000000001</v>
      </c>
      <c r="G64" s="31">
        <v>3.9867799999999997E-3</v>
      </c>
      <c r="H64" s="24" t="s">
        <v>146</v>
      </c>
    </row>
    <row r="65" spans="1:8" x14ac:dyDescent="0.2">
      <c r="A65" s="27">
        <v>59</v>
      </c>
      <c r="B65" s="28" t="s">
        <v>538</v>
      </c>
      <c r="C65" s="28" t="s">
        <v>539</v>
      </c>
      <c r="D65" s="28" t="s">
        <v>42</v>
      </c>
      <c r="E65" s="29">
        <v>1050000</v>
      </c>
      <c r="F65" s="30">
        <v>2154.6</v>
      </c>
      <c r="G65" s="31">
        <v>3.9638099999999999E-3</v>
      </c>
      <c r="H65" s="24" t="s">
        <v>146</v>
      </c>
    </row>
    <row r="66" spans="1:8" x14ac:dyDescent="0.2">
      <c r="A66" s="27">
        <v>60</v>
      </c>
      <c r="B66" s="28" t="s">
        <v>289</v>
      </c>
      <c r="C66" s="28" t="s">
        <v>290</v>
      </c>
      <c r="D66" s="28" t="s">
        <v>223</v>
      </c>
      <c r="E66" s="29">
        <v>1250000</v>
      </c>
      <c r="F66" s="30">
        <v>2108.125</v>
      </c>
      <c r="G66" s="31">
        <v>3.8783099999999998E-3</v>
      </c>
      <c r="H66" s="24" t="s">
        <v>146</v>
      </c>
    </row>
    <row r="67" spans="1:8" x14ac:dyDescent="0.2">
      <c r="A67" s="27">
        <v>61</v>
      </c>
      <c r="B67" s="28" t="s">
        <v>102</v>
      </c>
      <c r="C67" s="28" t="s">
        <v>103</v>
      </c>
      <c r="D67" s="28" t="s">
        <v>42</v>
      </c>
      <c r="E67" s="29">
        <v>107500</v>
      </c>
      <c r="F67" s="30">
        <v>2072.00875</v>
      </c>
      <c r="G67" s="31">
        <v>3.8118700000000002E-3</v>
      </c>
      <c r="H67" s="24" t="s">
        <v>146</v>
      </c>
    </row>
    <row r="68" spans="1:8" ht="25.5" x14ac:dyDescent="0.2">
      <c r="A68" s="27">
        <v>62</v>
      </c>
      <c r="B68" s="28" t="s">
        <v>50</v>
      </c>
      <c r="C68" s="28" t="s">
        <v>51</v>
      </c>
      <c r="D68" s="28" t="s">
        <v>25</v>
      </c>
      <c r="E68" s="29">
        <v>42200</v>
      </c>
      <c r="F68" s="30">
        <v>2040.3067000000001</v>
      </c>
      <c r="G68" s="31">
        <v>3.7535400000000001E-3</v>
      </c>
      <c r="H68" s="24" t="s">
        <v>146</v>
      </c>
    </row>
    <row r="69" spans="1:8" x14ac:dyDescent="0.2">
      <c r="A69" s="27">
        <v>63</v>
      </c>
      <c r="B69" s="28" t="s">
        <v>227</v>
      </c>
      <c r="C69" s="28" t="s">
        <v>228</v>
      </c>
      <c r="D69" s="28" t="s">
        <v>83</v>
      </c>
      <c r="E69" s="29">
        <v>450000</v>
      </c>
      <c r="F69" s="30">
        <v>1967.85</v>
      </c>
      <c r="G69" s="31">
        <v>3.6202500000000002E-3</v>
      </c>
      <c r="H69" s="24" t="s">
        <v>146</v>
      </c>
    </row>
    <row r="70" spans="1:8" x14ac:dyDescent="0.2">
      <c r="A70" s="27">
        <v>64</v>
      </c>
      <c r="B70" s="28" t="s">
        <v>97</v>
      </c>
      <c r="C70" s="28" t="s">
        <v>98</v>
      </c>
      <c r="D70" s="28" t="s">
        <v>99</v>
      </c>
      <c r="E70" s="29">
        <v>1100000</v>
      </c>
      <c r="F70" s="30">
        <v>1948.32</v>
      </c>
      <c r="G70" s="31">
        <v>3.5843200000000002E-3</v>
      </c>
      <c r="H70" s="24" t="s">
        <v>146</v>
      </c>
    </row>
    <row r="71" spans="1:8" x14ac:dyDescent="0.2">
      <c r="A71" s="27">
        <v>65</v>
      </c>
      <c r="B71" s="28" t="s">
        <v>84</v>
      </c>
      <c r="C71" s="28" t="s">
        <v>85</v>
      </c>
      <c r="D71" s="28" t="s">
        <v>42</v>
      </c>
      <c r="E71" s="29">
        <v>205000</v>
      </c>
      <c r="F71" s="30">
        <v>1852.0725</v>
      </c>
      <c r="G71" s="31">
        <v>3.4072500000000001E-3</v>
      </c>
      <c r="H71" s="24" t="s">
        <v>146</v>
      </c>
    </row>
    <row r="72" spans="1:8" x14ac:dyDescent="0.2">
      <c r="A72" s="27">
        <v>66</v>
      </c>
      <c r="B72" s="28" t="s">
        <v>252</v>
      </c>
      <c r="C72" s="28" t="s">
        <v>253</v>
      </c>
      <c r="D72" s="28" t="s">
        <v>195</v>
      </c>
      <c r="E72" s="29">
        <v>13430</v>
      </c>
      <c r="F72" s="30">
        <v>1109.835055</v>
      </c>
      <c r="G72" s="31">
        <v>2.0417600000000001E-3</v>
      </c>
      <c r="H72" s="24" t="s">
        <v>146</v>
      </c>
    </row>
    <row r="73" spans="1:8" x14ac:dyDescent="0.2">
      <c r="A73" s="27">
        <v>67</v>
      </c>
      <c r="B73" s="28" t="s">
        <v>315</v>
      </c>
      <c r="C73" s="28" t="s">
        <v>316</v>
      </c>
      <c r="D73" s="28" t="s">
        <v>39</v>
      </c>
      <c r="E73" s="29">
        <v>105000</v>
      </c>
      <c r="F73" s="30">
        <v>1040.97</v>
      </c>
      <c r="G73" s="31">
        <v>1.9150700000000001E-3</v>
      </c>
      <c r="H73" s="24" t="s">
        <v>146</v>
      </c>
    </row>
    <row r="74" spans="1:8" x14ac:dyDescent="0.2">
      <c r="A74" s="27">
        <v>68</v>
      </c>
      <c r="B74" s="28" t="s">
        <v>371</v>
      </c>
      <c r="C74" s="28" t="s">
        <v>372</v>
      </c>
      <c r="D74" s="28" t="s">
        <v>373</v>
      </c>
      <c r="E74" s="29">
        <v>230000</v>
      </c>
      <c r="F74" s="30">
        <v>910.57</v>
      </c>
      <c r="G74" s="31">
        <v>1.6751699999999999E-3</v>
      </c>
      <c r="H74" s="24" t="s">
        <v>146</v>
      </c>
    </row>
    <row r="75" spans="1:8" x14ac:dyDescent="0.2">
      <c r="A75" s="25"/>
      <c r="B75" s="25"/>
      <c r="C75" s="26" t="s">
        <v>145</v>
      </c>
      <c r="D75" s="25"/>
      <c r="E75" s="25" t="s">
        <v>146</v>
      </c>
      <c r="F75" s="32">
        <f>SUM(F7:F74)</f>
        <v>377563.92852000002</v>
      </c>
      <c r="G75" s="33">
        <f>SUM(G7:G74)</f>
        <v>0.6946027600000001</v>
      </c>
      <c r="H75" s="24" t="s">
        <v>146</v>
      </c>
    </row>
    <row r="76" spans="1:8" x14ac:dyDescent="0.2">
      <c r="A76" s="25"/>
      <c r="B76" s="25"/>
      <c r="C76" s="34"/>
      <c r="D76" s="25"/>
      <c r="E76" s="25"/>
      <c r="F76" s="35"/>
      <c r="G76" s="35"/>
      <c r="H76" s="24" t="s">
        <v>146</v>
      </c>
    </row>
    <row r="77" spans="1:8" x14ac:dyDescent="0.2">
      <c r="A77" s="25"/>
      <c r="B77" s="25"/>
      <c r="C77" s="26" t="s">
        <v>147</v>
      </c>
      <c r="D77" s="25"/>
      <c r="E77" s="25"/>
      <c r="F77" s="25"/>
      <c r="G77" s="25"/>
      <c r="H77" s="24" t="s">
        <v>146</v>
      </c>
    </row>
    <row r="78" spans="1:8" x14ac:dyDescent="0.2">
      <c r="A78" s="25"/>
      <c r="B78" s="25"/>
      <c r="C78" s="26" t="s">
        <v>145</v>
      </c>
      <c r="D78" s="25"/>
      <c r="E78" s="25" t="s">
        <v>146</v>
      </c>
      <c r="F78" s="36" t="s">
        <v>148</v>
      </c>
      <c r="G78" s="33">
        <v>0</v>
      </c>
      <c r="H78" s="24" t="s">
        <v>146</v>
      </c>
    </row>
    <row r="79" spans="1:8" x14ac:dyDescent="0.2">
      <c r="A79" s="25"/>
      <c r="B79" s="25"/>
      <c r="C79" s="34"/>
      <c r="D79" s="25"/>
      <c r="E79" s="25"/>
      <c r="F79" s="35"/>
      <c r="G79" s="35"/>
      <c r="H79" s="24" t="s">
        <v>146</v>
      </c>
    </row>
    <row r="80" spans="1:8" x14ac:dyDescent="0.2">
      <c r="A80" s="25"/>
      <c r="B80" s="25"/>
      <c r="C80" s="26" t="s">
        <v>149</v>
      </c>
      <c r="D80" s="25"/>
      <c r="E80" s="25"/>
      <c r="F80" s="25"/>
      <c r="G80" s="25"/>
      <c r="H80" s="24" t="s">
        <v>146</v>
      </c>
    </row>
    <row r="81" spans="1:8" x14ac:dyDescent="0.2">
      <c r="A81" s="27">
        <v>1</v>
      </c>
      <c r="B81" s="28" t="s">
        <v>540</v>
      </c>
      <c r="C81" s="28" t="s">
        <v>995</v>
      </c>
      <c r="D81" s="28" t="s">
        <v>223</v>
      </c>
      <c r="E81" s="29">
        <v>30579</v>
      </c>
      <c r="F81" s="30">
        <v>5.3604986999999999</v>
      </c>
      <c r="G81" s="31" t="s">
        <v>144</v>
      </c>
      <c r="H81" s="24" t="s">
        <v>146</v>
      </c>
    </row>
    <row r="82" spans="1:8" x14ac:dyDescent="0.2">
      <c r="A82" s="25"/>
      <c r="B82" s="25"/>
      <c r="C82" s="26" t="s">
        <v>145</v>
      </c>
      <c r="D82" s="25"/>
      <c r="E82" s="25" t="s">
        <v>146</v>
      </c>
      <c r="F82" s="32">
        <f>SUM(F81)</f>
        <v>5.3604986999999999</v>
      </c>
      <c r="G82" s="33">
        <f>SUM(G81)</f>
        <v>0</v>
      </c>
      <c r="H82" s="24" t="s">
        <v>146</v>
      </c>
    </row>
    <row r="83" spans="1:8" x14ac:dyDescent="0.2">
      <c r="A83" s="25"/>
      <c r="B83" s="25"/>
      <c r="C83" s="34"/>
      <c r="D83" s="25"/>
      <c r="E83" s="25"/>
      <c r="F83" s="35"/>
      <c r="G83" s="35"/>
      <c r="H83" s="24" t="s">
        <v>146</v>
      </c>
    </row>
    <row r="84" spans="1:8" x14ac:dyDescent="0.2">
      <c r="A84" s="25"/>
      <c r="B84" s="25"/>
      <c r="C84" s="26" t="s">
        <v>150</v>
      </c>
      <c r="D84" s="25"/>
      <c r="E84" s="25"/>
      <c r="F84" s="25"/>
      <c r="G84" s="25"/>
      <c r="H84" s="24" t="s">
        <v>146</v>
      </c>
    </row>
    <row r="85" spans="1:8" x14ac:dyDescent="0.2">
      <c r="A85" s="25"/>
      <c r="B85" s="25"/>
      <c r="C85" s="26" t="s">
        <v>145</v>
      </c>
      <c r="D85" s="25"/>
      <c r="E85" s="25" t="s">
        <v>146</v>
      </c>
      <c r="F85" s="36" t="s">
        <v>148</v>
      </c>
      <c r="G85" s="33">
        <v>0</v>
      </c>
      <c r="H85" s="24" t="s">
        <v>146</v>
      </c>
    </row>
    <row r="86" spans="1:8" x14ac:dyDescent="0.2">
      <c r="A86" s="25"/>
      <c r="B86" s="25"/>
      <c r="C86" s="34"/>
      <c r="D86" s="25"/>
      <c r="E86" s="25"/>
      <c r="F86" s="35"/>
      <c r="G86" s="35"/>
      <c r="H86" s="24" t="s">
        <v>146</v>
      </c>
    </row>
    <row r="87" spans="1:8" x14ac:dyDescent="0.2">
      <c r="A87" s="25"/>
      <c r="B87" s="25"/>
      <c r="C87" s="26" t="s">
        <v>151</v>
      </c>
      <c r="D87" s="25"/>
      <c r="E87" s="25"/>
      <c r="F87" s="35"/>
      <c r="G87" s="35"/>
      <c r="H87" s="24" t="s">
        <v>146</v>
      </c>
    </row>
    <row r="88" spans="1:8" x14ac:dyDescent="0.2">
      <c r="A88" s="25"/>
      <c r="B88" s="25"/>
      <c r="C88" s="26" t="s">
        <v>145</v>
      </c>
      <c r="D88" s="25"/>
      <c r="E88" s="25" t="s">
        <v>146</v>
      </c>
      <c r="F88" s="36" t="s">
        <v>148</v>
      </c>
      <c r="G88" s="33">
        <v>0</v>
      </c>
      <c r="H88" s="24" t="s">
        <v>146</v>
      </c>
    </row>
    <row r="89" spans="1:8" x14ac:dyDescent="0.2">
      <c r="A89" s="76"/>
      <c r="B89" s="76"/>
      <c r="C89" s="50"/>
      <c r="D89" s="76"/>
      <c r="E89" s="76"/>
      <c r="F89" s="77"/>
      <c r="G89" s="78"/>
      <c r="H89" s="24" t="s">
        <v>146</v>
      </c>
    </row>
    <row r="90" spans="1:8" x14ac:dyDescent="0.2">
      <c r="A90" s="76"/>
      <c r="B90" s="76"/>
      <c r="C90" s="50" t="s">
        <v>887</v>
      </c>
      <c r="D90" s="76"/>
      <c r="E90" s="76"/>
      <c r="F90" s="76"/>
      <c r="G90" s="76"/>
      <c r="H90" s="24" t="s">
        <v>146</v>
      </c>
    </row>
    <row r="91" spans="1:8" ht="25.5" x14ac:dyDescent="0.2">
      <c r="A91" s="79">
        <v>1</v>
      </c>
      <c r="B91" s="37" t="s">
        <v>888</v>
      </c>
      <c r="C91" s="37" t="s">
        <v>889</v>
      </c>
      <c r="D91" s="37" t="s">
        <v>890</v>
      </c>
      <c r="E91" s="80">
        <v>1750</v>
      </c>
      <c r="F91" s="81">
        <f>186073383.65/10^5</f>
        <v>1860.7338365000001</v>
      </c>
      <c r="G91" s="82">
        <f>F91/F187</f>
        <v>3.423183925693565E-3</v>
      </c>
      <c r="H91" s="24">
        <v>8.1476500000000005</v>
      </c>
    </row>
    <row r="92" spans="1:8" x14ac:dyDescent="0.2">
      <c r="A92" s="76"/>
      <c r="B92" s="76"/>
      <c r="C92" s="50" t="s">
        <v>145</v>
      </c>
      <c r="D92" s="76"/>
      <c r="E92" s="76" t="s">
        <v>146</v>
      </c>
      <c r="F92" s="83">
        <f>SUM(F91)</f>
        <v>1860.7338365000001</v>
      </c>
      <c r="G92" s="78">
        <f>SUM(G91)</f>
        <v>3.423183925693565E-3</v>
      </c>
      <c r="H92" s="24" t="s">
        <v>146</v>
      </c>
    </row>
    <row r="93" spans="1:8" x14ac:dyDescent="0.2">
      <c r="A93" s="25"/>
      <c r="B93" s="25"/>
      <c r="C93" s="34"/>
      <c r="D93" s="25"/>
      <c r="E93" s="25"/>
      <c r="F93" s="35"/>
      <c r="G93" s="35"/>
      <c r="H93" s="24" t="s">
        <v>146</v>
      </c>
    </row>
    <row r="94" spans="1:8" x14ac:dyDescent="0.2">
      <c r="A94" s="25"/>
      <c r="B94" s="25"/>
      <c r="C94" s="26" t="s">
        <v>152</v>
      </c>
      <c r="D94" s="25"/>
      <c r="E94" s="25"/>
      <c r="F94" s="35"/>
      <c r="G94" s="35"/>
      <c r="H94" s="24" t="s">
        <v>146</v>
      </c>
    </row>
    <row r="95" spans="1:8" x14ac:dyDescent="0.2">
      <c r="A95" s="25"/>
      <c r="B95" s="25"/>
      <c r="C95" s="26" t="s">
        <v>145</v>
      </c>
      <c r="D95" s="25"/>
      <c r="E95" s="25" t="s">
        <v>146</v>
      </c>
      <c r="F95" s="36" t="s">
        <v>148</v>
      </c>
      <c r="G95" s="33">
        <v>0</v>
      </c>
      <c r="H95" s="24" t="s">
        <v>146</v>
      </c>
    </row>
    <row r="96" spans="1:8" x14ac:dyDescent="0.2">
      <c r="A96" s="25"/>
      <c r="B96" s="25"/>
      <c r="C96" s="34"/>
      <c r="D96" s="25"/>
      <c r="E96" s="25"/>
      <c r="F96" s="35"/>
      <c r="G96" s="35"/>
      <c r="H96" s="24" t="s">
        <v>146</v>
      </c>
    </row>
    <row r="97" spans="1:8" x14ac:dyDescent="0.2">
      <c r="A97" s="25"/>
      <c r="B97" s="25"/>
      <c r="C97" s="26" t="s">
        <v>153</v>
      </c>
      <c r="D97" s="25"/>
      <c r="E97" s="25"/>
      <c r="F97" s="32">
        <f>F92+F82+F75</f>
        <v>379430.02285519999</v>
      </c>
      <c r="G97" s="33">
        <f>G92+G82+G75</f>
        <v>0.69802594392569361</v>
      </c>
      <c r="H97" s="24" t="s">
        <v>146</v>
      </c>
    </row>
    <row r="98" spans="1:8" x14ac:dyDescent="0.2">
      <c r="A98" s="25"/>
      <c r="B98" s="25"/>
      <c r="C98" s="34"/>
      <c r="D98" s="25"/>
      <c r="E98" s="25"/>
      <c r="F98" s="35"/>
      <c r="G98" s="35"/>
      <c r="H98" s="24" t="s">
        <v>146</v>
      </c>
    </row>
    <row r="99" spans="1:8" x14ac:dyDescent="0.2">
      <c r="A99" s="25"/>
      <c r="B99" s="25"/>
      <c r="C99" s="26" t="s">
        <v>154</v>
      </c>
      <c r="D99" s="25"/>
      <c r="E99" s="25"/>
      <c r="F99" s="35"/>
      <c r="G99" s="35"/>
      <c r="H99" s="24" t="s">
        <v>146</v>
      </c>
    </row>
    <row r="100" spans="1:8" x14ac:dyDescent="0.2">
      <c r="A100" s="25"/>
      <c r="B100" s="25"/>
      <c r="C100" s="26" t="s">
        <v>10</v>
      </c>
      <c r="D100" s="25"/>
      <c r="E100" s="25"/>
      <c r="F100" s="35"/>
      <c r="G100" s="35"/>
      <c r="H100" s="24" t="s">
        <v>146</v>
      </c>
    </row>
    <row r="101" spans="1:8" ht="25.5" x14ac:dyDescent="0.2">
      <c r="A101" s="27">
        <v>1</v>
      </c>
      <c r="B101" s="28" t="s">
        <v>541</v>
      </c>
      <c r="C101" s="28" t="s">
        <v>542</v>
      </c>
      <c r="D101" s="28" t="s">
        <v>543</v>
      </c>
      <c r="E101" s="29">
        <v>4500</v>
      </c>
      <c r="F101" s="30">
        <v>4520.4390000000003</v>
      </c>
      <c r="G101" s="31">
        <v>8.3162300000000008E-3</v>
      </c>
      <c r="H101" s="24">
        <v>7.5442999999999998</v>
      </c>
    </row>
    <row r="102" spans="1:8" ht="25.5" x14ac:dyDescent="0.2">
      <c r="A102" s="27">
        <v>2</v>
      </c>
      <c r="B102" s="28" t="s">
        <v>544</v>
      </c>
      <c r="C102" s="28" t="s">
        <v>545</v>
      </c>
      <c r="D102" s="28" t="s">
        <v>546</v>
      </c>
      <c r="E102" s="29">
        <v>3500</v>
      </c>
      <c r="F102" s="30">
        <v>3495.1770000000001</v>
      </c>
      <c r="G102" s="31">
        <v>6.4300599999999996E-3</v>
      </c>
      <c r="H102" s="24">
        <v>7.63</v>
      </c>
    </row>
    <row r="103" spans="1:8" ht="25.5" x14ac:dyDescent="0.2">
      <c r="A103" s="27">
        <v>3</v>
      </c>
      <c r="B103" s="28" t="s">
        <v>547</v>
      </c>
      <c r="C103" s="28" t="s">
        <v>548</v>
      </c>
      <c r="D103" s="28" t="s">
        <v>549</v>
      </c>
      <c r="E103" s="29">
        <v>3000</v>
      </c>
      <c r="F103" s="30">
        <v>3035.4989999999998</v>
      </c>
      <c r="G103" s="31">
        <v>5.5843899999999998E-3</v>
      </c>
      <c r="H103" s="24">
        <v>8.18</v>
      </c>
    </row>
    <row r="104" spans="1:8" x14ac:dyDescent="0.2">
      <c r="A104" s="27">
        <v>4</v>
      </c>
      <c r="B104" s="28" t="s">
        <v>550</v>
      </c>
      <c r="C104" s="28" t="s">
        <v>551</v>
      </c>
      <c r="D104" s="28" t="s">
        <v>546</v>
      </c>
      <c r="E104" s="29">
        <v>3000</v>
      </c>
      <c r="F104" s="30">
        <v>3034.4879999999998</v>
      </c>
      <c r="G104" s="31">
        <v>5.5825299999999996E-3</v>
      </c>
      <c r="H104" s="24">
        <v>7.4455999999999998</v>
      </c>
    </row>
    <row r="105" spans="1:8" ht="25.5" x14ac:dyDescent="0.2">
      <c r="A105" s="27">
        <v>5</v>
      </c>
      <c r="B105" s="28" t="s">
        <v>552</v>
      </c>
      <c r="C105" s="28" t="s">
        <v>553</v>
      </c>
      <c r="D105" s="28" t="s">
        <v>546</v>
      </c>
      <c r="E105" s="29">
        <v>2500</v>
      </c>
      <c r="F105" s="30">
        <v>2630.76</v>
      </c>
      <c r="G105" s="31">
        <v>4.8398E-3</v>
      </c>
      <c r="H105" s="24">
        <v>7.1875</v>
      </c>
    </row>
    <row r="106" spans="1:8" ht="25.5" x14ac:dyDescent="0.2">
      <c r="A106" s="27">
        <v>6</v>
      </c>
      <c r="B106" s="28" t="s">
        <v>554</v>
      </c>
      <c r="C106" s="28" t="s">
        <v>555</v>
      </c>
      <c r="D106" s="28" t="s">
        <v>546</v>
      </c>
      <c r="E106" s="29">
        <v>2500</v>
      </c>
      <c r="F106" s="30">
        <v>2602.7375000000002</v>
      </c>
      <c r="G106" s="31">
        <v>4.78825E-3</v>
      </c>
      <c r="H106" s="24">
        <v>7.17</v>
      </c>
    </row>
    <row r="107" spans="1:8" x14ac:dyDescent="0.2">
      <c r="A107" s="27">
        <v>7</v>
      </c>
      <c r="B107" s="28" t="s">
        <v>556</v>
      </c>
      <c r="C107" s="28" t="s">
        <v>557</v>
      </c>
      <c r="D107" s="28" t="s">
        <v>546</v>
      </c>
      <c r="E107" s="29">
        <v>250</v>
      </c>
      <c r="F107" s="30">
        <v>2570.9324999999999</v>
      </c>
      <c r="G107" s="31">
        <v>4.7297299999999997E-3</v>
      </c>
      <c r="H107" s="24">
        <v>7.54</v>
      </c>
    </row>
    <row r="108" spans="1:8" ht="25.5" x14ac:dyDescent="0.2">
      <c r="A108" s="27">
        <v>8</v>
      </c>
      <c r="B108" s="28" t="s">
        <v>558</v>
      </c>
      <c r="C108" s="28" t="s">
        <v>559</v>
      </c>
      <c r="D108" s="28" t="s">
        <v>546</v>
      </c>
      <c r="E108" s="29">
        <v>2500</v>
      </c>
      <c r="F108" s="30">
        <v>2524.5124999999998</v>
      </c>
      <c r="G108" s="31">
        <v>4.6443400000000003E-3</v>
      </c>
      <c r="H108" s="24">
        <v>7.2024999999999997</v>
      </c>
    </row>
    <row r="109" spans="1:8" x14ac:dyDescent="0.2">
      <c r="A109" s="27">
        <v>9</v>
      </c>
      <c r="B109" s="28" t="s">
        <v>560</v>
      </c>
      <c r="C109" s="28" t="s">
        <v>561</v>
      </c>
      <c r="D109" s="28" t="s">
        <v>546</v>
      </c>
      <c r="E109" s="29">
        <v>2500</v>
      </c>
      <c r="F109" s="30">
        <v>2520.2424999999998</v>
      </c>
      <c r="G109" s="31">
        <v>4.6364800000000001E-3</v>
      </c>
      <c r="H109" s="24">
        <v>7.3711000000000002</v>
      </c>
    </row>
    <row r="110" spans="1:8" ht="25.5" x14ac:dyDescent="0.2">
      <c r="A110" s="27">
        <v>10</v>
      </c>
      <c r="B110" s="28" t="s">
        <v>562</v>
      </c>
      <c r="C110" s="28" t="s">
        <v>563</v>
      </c>
      <c r="D110" s="28" t="s">
        <v>546</v>
      </c>
      <c r="E110" s="29">
        <v>2500</v>
      </c>
      <c r="F110" s="30">
        <v>2514.4</v>
      </c>
      <c r="G110" s="31">
        <v>4.6257299999999998E-3</v>
      </c>
      <c r="H110" s="24">
        <v>7.52</v>
      </c>
    </row>
    <row r="111" spans="1:8" ht="25.5" x14ac:dyDescent="0.2">
      <c r="A111" s="27">
        <v>11</v>
      </c>
      <c r="B111" s="28" t="s">
        <v>564</v>
      </c>
      <c r="C111" s="28" t="s">
        <v>565</v>
      </c>
      <c r="D111" s="28" t="s">
        <v>543</v>
      </c>
      <c r="E111" s="29">
        <v>2500</v>
      </c>
      <c r="F111" s="30">
        <v>2507.0549999999998</v>
      </c>
      <c r="G111" s="31">
        <v>4.6122200000000002E-3</v>
      </c>
      <c r="H111" s="24">
        <v>7.5033000000000003</v>
      </c>
    </row>
    <row r="112" spans="1:8" x14ac:dyDescent="0.2">
      <c r="A112" s="27">
        <v>12</v>
      </c>
      <c r="B112" s="28" t="s">
        <v>566</v>
      </c>
      <c r="C112" s="28" t="s">
        <v>567</v>
      </c>
      <c r="D112" s="28" t="s">
        <v>546</v>
      </c>
      <c r="E112" s="29">
        <v>2500</v>
      </c>
      <c r="F112" s="30">
        <v>2503.9324999999999</v>
      </c>
      <c r="G112" s="31">
        <v>4.6064699999999997E-3</v>
      </c>
      <c r="H112" s="24">
        <v>7.6234999999999999</v>
      </c>
    </row>
    <row r="113" spans="1:8" x14ac:dyDescent="0.2">
      <c r="A113" s="27">
        <v>13</v>
      </c>
      <c r="B113" s="28" t="s">
        <v>568</v>
      </c>
      <c r="C113" s="28" t="s">
        <v>569</v>
      </c>
      <c r="D113" s="28" t="s">
        <v>570</v>
      </c>
      <c r="E113" s="29">
        <v>2500</v>
      </c>
      <c r="F113" s="30">
        <v>2494.0774999999999</v>
      </c>
      <c r="G113" s="31">
        <v>4.5883399999999998E-3</v>
      </c>
      <c r="H113" s="24">
        <v>8.9611000000000001</v>
      </c>
    </row>
    <row r="114" spans="1:8" ht="25.5" x14ac:dyDescent="0.2">
      <c r="A114" s="27">
        <v>14</v>
      </c>
      <c r="B114" s="28" t="s">
        <v>571</v>
      </c>
      <c r="C114" s="28" t="s">
        <v>572</v>
      </c>
      <c r="D114" s="28" t="s">
        <v>546</v>
      </c>
      <c r="E114" s="29">
        <v>2500</v>
      </c>
      <c r="F114" s="30">
        <v>2490.7975000000001</v>
      </c>
      <c r="G114" s="31">
        <v>4.58231E-3</v>
      </c>
      <c r="H114" s="24">
        <v>7.64</v>
      </c>
    </row>
    <row r="115" spans="1:8" ht="25.5" x14ac:dyDescent="0.2">
      <c r="A115" s="27">
        <v>15</v>
      </c>
      <c r="B115" s="28" t="s">
        <v>573</v>
      </c>
      <c r="C115" s="28" t="s">
        <v>574</v>
      </c>
      <c r="D115" s="28" t="s">
        <v>546</v>
      </c>
      <c r="E115" s="29">
        <v>2000</v>
      </c>
      <c r="F115" s="30">
        <v>2030.7940000000001</v>
      </c>
      <c r="G115" s="31">
        <v>3.7360399999999999E-3</v>
      </c>
      <c r="H115" s="24">
        <v>7.19</v>
      </c>
    </row>
    <row r="116" spans="1:8" x14ac:dyDescent="0.2">
      <c r="A116" s="27">
        <v>16</v>
      </c>
      <c r="B116" s="28" t="s">
        <v>575</v>
      </c>
      <c r="C116" s="28" t="s">
        <v>576</v>
      </c>
      <c r="D116" s="28" t="s">
        <v>546</v>
      </c>
      <c r="E116" s="29">
        <v>2000</v>
      </c>
      <c r="F116" s="30">
        <v>2026.4780000000001</v>
      </c>
      <c r="G116" s="31">
        <v>3.7280999999999998E-3</v>
      </c>
      <c r="H116" s="24">
        <v>7.6605999999999996</v>
      </c>
    </row>
    <row r="117" spans="1:8" ht="25.5" x14ac:dyDescent="0.2">
      <c r="A117" s="27">
        <v>17</v>
      </c>
      <c r="B117" s="28" t="s">
        <v>577</v>
      </c>
      <c r="C117" s="28" t="s">
        <v>578</v>
      </c>
      <c r="D117" s="28" t="s">
        <v>546</v>
      </c>
      <c r="E117" s="29">
        <v>2000</v>
      </c>
      <c r="F117" s="30">
        <v>2004.838</v>
      </c>
      <c r="G117" s="31">
        <v>3.6882899999999999E-3</v>
      </c>
      <c r="H117" s="24">
        <v>7.5111999999999997</v>
      </c>
    </row>
    <row r="118" spans="1:8" x14ac:dyDescent="0.2">
      <c r="A118" s="27">
        <v>18</v>
      </c>
      <c r="B118" s="28" t="s">
        <v>579</v>
      </c>
      <c r="C118" s="28" t="s">
        <v>580</v>
      </c>
      <c r="D118" s="28" t="s">
        <v>543</v>
      </c>
      <c r="E118" s="29">
        <v>2000</v>
      </c>
      <c r="F118" s="30">
        <v>2002.3019999999999</v>
      </c>
      <c r="G118" s="31">
        <v>3.6836299999999998E-3</v>
      </c>
      <c r="H118" s="24">
        <v>7.48</v>
      </c>
    </row>
    <row r="119" spans="1:8" ht="25.5" x14ac:dyDescent="0.2">
      <c r="A119" s="27">
        <v>19</v>
      </c>
      <c r="B119" s="28" t="s">
        <v>581</v>
      </c>
      <c r="C119" s="28" t="s">
        <v>582</v>
      </c>
      <c r="D119" s="28" t="s">
        <v>546</v>
      </c>
      <c r="E119" s="29">
        <v>1500</v>
      </c>
      <c r="F119" s="30">
        <v>1572.0045</v>
      </c>
      <c r="G119" s="31">
        <v>2.89201E-3</v>
      </c>
      <c r="H119" s="24">
        <v>7.1623000000000001</v>
      </c>
    </row>
    <row r="120" spans="1:8" ht="25.5" x14ac:dyDescent="0.2">
      <c r="A120" s="27">
        <v>20</v>
      </c>
      <c r="B120" s="28" t="s">
        <v>583</v>
      </c>
      <c r="C120" s="28" t="s">
        <v>584</v>
      </c>
      <c r="D120" s="28" t="s">
        <v>546</v>
      </c>
      <c r="E120" s="29">
        <v>1500</v>
      </c>
      <c r="F120" s="30">
        <v>1533.93</v>
      </c>
      <c r="G120" s="31">
        <v>2.8219600000000001E-3</v>
      </c>
      <c r="H120" s="24">
        <v>7.415</v>
      </c>
    </row>
    <row r="121" spans="1:8" ht="25.5" x14ac:dyDescent="0.2">
      <c r="A121" s="27">
        <v>21</v>
      </c>
      <c r="B121" s="28" t="s">
        <v>585</v>
      </c>
      <c r="C121" s="28" t="s">
        <v>586</v>
      </c>
      <c r="D121" s="28" t="s">
        <v>546</v>
      </c>
      <c r="E121" s="29">
        <v>1500</v>
      </c>
      <c r="F121" s="30">
        <v>1521.5235</v>
      </c>
      <c r="G121" s="31">
        <v>2.7991399999999999E-3</v>
      </c>
      <c r="H121" s="24">
        <v>7.13</v>
      </c>
    </row>
    <row r="122" spans="1:8" ht="25.5" x14ac:dyDescent="0.2">
      <c r="A122" s="27">
        <v>22</v>
      </c>
      <c r="B122" s="28" t="s">
        <v>587</v>
      </c>
      <c r="C122" s="28" t="s">
        <v>588</v>
      </c>
      <c r="D122" s="28" t="s">
        <v>546</v>
      </c>
      <c r="E122" s="29">
        <v>1500</v>
      </c>
      <c r="F122" s="30">
        <v>1510.9275</v>
      </c>
      <c r="G122" s="31">
        <v>2.7796499999999998E-3</v>
      </c>
      <c r="H122" s="24">
        <v>7.4950000000000001</v>
      </c>
    </row>
    <row r="123" spans="1:8" ht="25.5" x14ac:dyDescent="0.2">
      <c r="A123" s="27">
        <v>23</v>
      </c>
      <c r="B123" s="28" t="s">
        <v>589</v>
      </c>
      <c r="C123" s="28" t="s">
        <v>590</v>
      </c>
      <c r="D123" s="28" t="s">
        <v>546</v>
      </c>
      <c r="E123" s="29">
        <v>1500</v>
      </c>
      <c r="F123" s="30">
        <v>1503.4185</v>
      </c>
      <c r="G123" s="31">
        <v>2.7658299999999999E-3</v>
      </c>
      <c r="H123" s="24">
        <v>7.62</v>
      </c>
    </row>
    <row r="124" spans="1:8" ht="25.5" x14ac:dyDescent="0.2">
      <c r="A124" s="27">
        <v>24</v>
      </c>
      <c r="B124" s="28" t="s">
        <v>591</v>
      </c>
      <c r="C124" s="28" t="s">
        <v>592</v>
      </c>
      <c r="D124" s="28" t="s">
        <v>543</v>
      </c>
      <c r="E124" s="29">
        <v>150</v>
      </c>
      <c r="F124" s="30">
        <v>1499.6759999999999</v>
      </c>
      <c r="G124" s="31">
        <v>2.75895E-3</v>
      </c>
      <c r="H124" s="24">
        <v>7.6802999999999999</v>
      </c>
    </row>
    <row r="125" spans="1:8" x14ac:dyDescent="0.2">
      <c r="A125" s="27">
        <v>25</v>
      </c>
      <c r="B125" s="28" t="s">
        <v>593</v>
      </c>
      <c r="C125" s="28" t="s">
        <v>594</v>
      </c>
      <c r="D125" s="28" t="s">
        <v>546</v>
      </c>
      <c r="E125" s="29">
        <v>1500</v>
      </c>
      <c r="F125" s="30">
        <v>1499.0055</v>
      </c>
      <c r="G125" s="31">
        <v>2.75771E-3</v>
      </c>
      <c r="H125" s="24">
        <v>8.2100000000000009</v>
      </c>
    </row>
    <row r="126" spans="1:8" ht="25.5" x14ac:dyDescent="0.2">
      <c r="A126" s="27">
        <v>26</v>
      </c>
      <c r="B126" s="28" t="s">
        <v>595</v>
      </c>
      <c r="C126" s="28" t="s">
        <v>596</v>
      </c>
      <c r="D126" s="28" t="s">
        <v>546</v>
      </c>
      <c r="E126" s="29">
        <v>150</v>
      </c>
      <c r="F126" s="30">
        <v>1495.0635</v>
      </c>
      <c r="G126" s="31">
        <v>2.7504600000000001E-3</v>
      </c>
      <c r="H126" s="24">
        <v>7.8</v>
      </c>
    </row>
    <row r="127" spans="1:8" x14ac:dyDescent="0.2">
      <c r="A127" s="27">
        <v>27</v>
      </c>
      <c r="B127" s="28" t="s">
        <v>597</v>
      </c>
      <c r="C127" s="28" t="s">
        <v>598</v>
      </c>
      <c r="D127" s="28" t="s">
        <v>546</v>
      </c>
      <c r="E127" s="29">
        <v>150</v>
      </c>
      <c r="F127" s="30">
        <v>1464.9090000000001</v>
      </c>
      <c r="G127" s="31">
        <v>2.69499E-3</v>
      </c>
      <c r="H127" s="24">
        <v>7.7549999999999999</v>
      </c>
    </row>
    <row r="128" spans="1:8" ht="25.5" x14ac:dyDescent="0.2">
      <c r="A128" s="27">
        <v>28</v>
      </c>
      <c r="B128" s="28" t="s">
        <v>599</v>
      </c>
      <c r="C128" s="28" t="s">
        <v>600</v>
      </c>
      <c r="D128" s="28" t="s">
        <v>546</v>
      </c>
      <c r="E128" s="29">
        <v>1000</v>
      </c>
      <c r="F128" s="30">
        <v>1003.97</v>
      </c>
      <c r="G128" s="31">
        <v>1.8469999999999999E-3</v>
      </c>
      <c r="H128" s="24">
        <v>7.51</v>
      </c>
    </row>
    <row r="129" spans="1:8" x14ac:dyDescent="0.2">
      <c r="A129" s="27">
        <v>29</v>
      </c>
      <c r="B129" s="28" t="s">
        <v>601</v>
      </c>
      <c r="C129" s="28" t="s">
        <v>602</v>
      </c>
      <c r="D129" s="28" t="s">
        <v>603</v>
      </c>
      <c r="E129" s="29">
        <v>1000</v>
      </c>
      <c r="F129" s="30">
        <v>1000.282</v>
      </c>
      <c r="G129" s="31">
        <v>1.8402099999999999E-3</v>
      </c>
      <c r="H129" s="24">
        <v>8.1300000000000008</v>
      </c>
    </row>
    <row r="130" spans="1:8" x14ac:dyDescent="0.2">
      <c r="A130" s="27">
        <v>30</v>
      </c>
      <c r="B130" s="28" t="s">
        <v>604</v>
      </c>
      <c r="C130" s="28" t="s">
        <v>605</v>
      </c>
      <c r="D130" s="28" t="s">
        <v>546</v>
      </c>
      <c r="E130" s="29">
        <v>1000</v>
      </c>
      <c r="F130" s="30">
        <v>998.01800000000003</v>
      </c>
      <c r="G130" s="31">
        <v>1.8360500000000001E-3</v>
      </c>
      <c r="H130" s="24">
        <v>7.6050000000000004</v>
      </c>
    </row>
    <row r="131" spans="1:8" x14ac:dyDescent="0.2">
      <c r="A131" s="27">
        <v>31</v>
      </c>
      <c r="B131" s="28" t="s">
        <v>606</v>
      </c>
      <c r="C131" s="28" t="s">
        <v>607</v>
      </c>
      <c r="D131" s="28" t="s">
        <v>546</v>
      </c>
      <c r="E131" s="29">
        <v>1000</v>
      </c>
      <c r="F131" s="30">
        <v>997.57399999999996</v>
      </c>
      <c r="G131" s="31">
        <v>1.83523E-3</v>
      </c>
      <c r="H131" s="24">
        <v>7.625</v>
      </c>
    </row>
    <row r="132" spans="1:8" x14ac:dyDescent="0.2">
      <c r="A132" s="27">
        <v>32</v>
      </c>
      <c r="B132" s="28" t="s">
        <v>608</v>
      </c>
      <c r="C132" s="28" t="s">
        <v>609</v>
      </c>
      <c r="D132" s="28" t="s">
        <v>546</v>
      </c>
      <c r="E132" s="29">
        <v>1000</v>
      </c>
      <c r="F132" s="30">
        <v>995.71100000000001</v>
      </c>
      <c r="G132" s="31">
        <v>1.8318099999999999E-3</v>
      </c>
      <c r="H132" s="24">
        <v>7.52</v>
      </c>
    </row>
    <row r="133" spans="1:8" x14ac:dyDescent="0.2">
      <c r="A133" s="25"/>
      <c r="B133" s="25"/>
      <c r="C133" s="26" t="s">
        <v>145</v>
      </c>
      <c r="D133" s="25"/>
      <c r="E133" s="25" t="s">
        <v>146</v>
      </c>
      <c r="F133" s="32">
        <v>66105.4755</v>
      </c>
      <c r="G133" s="33">
        <v>0.12161394</v>
      </c>
      <c r="H133" s="24" t="s">
        <v>146</v>
      </c>
    </row>
    <row r="134" spans="1:8" x14ac:dyDescent="0.2">
      <c r="A134" s="25"/>
      <c r="B134" s="25"/>
      <c r="C134" s="34"/>
      <c r="D134" s="25"/>
      <c r="E134" s="25"/>
      <c r="F134" s="35"/>
      <c r="G134" s="35"/>
      <c r="H134" s="24" t="s">
        <v>146</v>
      </c>
    </row>
    <row r="135" spans="1:8" x14ac:dyDescent="0.2">
      <c r="A135" s="25"/>
      <c r="B135" s="25"/>
      <c r="C135" s="26" t="s">
        <v>155</v>
      </c>
      <c r="D135" s="25"/>
      <c r="E135" s="25"/>
      <c r="F135" s="25"/>
      <c r="G135" s="25"/>
      <c r="H135" s="24" t="s">
        <v>146</v>
      </c>
    </row>
    <row r="136" spans="1:8" x14ac:dyDescent="0.2">
      <c r="A136" s="25"/>
      <c r="B136" s="25"/>
      <c r="C136" s="26" t="s">
        <v>145</v>
      </c>
      <c r="D136" s="25"/>
      <c r="E136" s="25" t="s">
        <v>146</v>
      </c>
      <c r="F136" s="36" t="s">
        <v>148</v>
      </c>
      <c r="G136" s="33">
        <v>0</v>
      </c>
      <c r="H136" s="24" t="s">
        <v>146</v>
      </c>
    </row>
    <row r="137" spans="1:8" x14ac:dyDescent="0.2">
      <c r="A137" s="25"/>
      <c r="B137" s="25"/>
      <c r="C137" s="34"/>
      <c r="D137" s="25"/>
      <c r="E137" s="25"/>
      <c r="F137" s="35"/>
      <c r="G137" s="35"/>
      <c r="H137" s="24" t="s">
        <v>146</v>
      </c>
    </row>
    <row r="138" spans="1:8" x14ac:dyDescent="0.2">
      <c r="A138" s="25"/>
      <c r="B138" s="25"/>
      <c r="C138" s="26" t="s">
        <v>156</v>
      </c>
      <c r="D138" s="25"/>
      <c r="E138" s="25"/>
      <c r="F138" s="25"/>
      <c r="G138" s="25"/>
      <c r="H138" s="24" t="s">
        <v>146</v>
      </c>
    </row>
    <row r="139" spans="1:8" x14ac:dyDescent="0.2">
      <c r="A139" s="27">
        <v>1</v>
      </c>
      <c r="B139" s="28" t="s">
        <v>610</v>
      </c>
      <c r="C139" s="28" t="s">
        <v>611</v>
      </c>
      <c r="D139" s="28" t="s">
        <v>521</v>
      </c>
      <c r="E139" s="29">
        <v>30500000</v>
      </c>
      <c r="F139" s="30">
        <v>31233.952000000001</v>
      </c>
      <c r="G139" s="31">
        <v>5.746097E-2</v>
      </c>
      <c r="H139" s="24">
        <v>6.8559999999999999</v>
      </c>
    </row>
    <row r="140" spans="1:8" x14ac:dyDescent="0.2">
      <c r="A140" s="27">
        <v>2</v>
      </c>
      <c r="B140" s="28" t="s">
        <v>612</v>
      </c>
      <c r="C140" s="28" t="s">
        <v>1079</v>
      </c>
      <c r="D140" s="28" t="s">
        <v>521</v>
      </c>
      <c r="E140" s="29">
        <v>10000000</v>
      </c>
      <c r="F140" s="30">
        <v>10353.44</v>
      </c>
      <c r="G140" s="31">
        <v>1.904718E-2</v>
      </c>
      <c r="H140" s="24">
        <v>6.9523999999999999</v>
      </c>
    </row>
    <row r="141" spans="1:8" x14ac:dyDescent="0.2">
      <c r="A141" s="27">
        <v>3</v>
      </c>
      <c r="B141" s="28" t="s">
        <v>613</v>
      </c>
      <c r="C141" s="28" t="s">
        <v>614</v>
      </c>
      <c r="D141" s="28" t="s">
        <v>521</v>
      </c>
      <c r="E141" s="29">
        <v>3000000</v>
      </c>
      <c r="F141" s="30">
        <v>3084.6390000000001</v>
      </c>
      <c r="G141" s="31">
        <v>5.6747999999999998E-3</v>
      </c>
      <c r="H141" s="24">
        <v>6.9569999999999999</v>
      </c>
    </row>
    <row r="142" spans="1:8" x14ac:dyDescent="0.2">
      <c r="A142" s="27">
        <v>4</v>
      </c>
      <c r="B142" s="28" t="s">
        <v>615</v>
      </c>
      <c r="C142" s="28" t="s">
        <v>616</v>
      </c>
      <c r="D142" s="28" t="s">
        <v>521</v>
      </c>
      <c r="E142" s="29">
        <v>2500000</v>
      </c>
      <c r="F142" s="30">
        <v>2595.9625000000001</v>
      </c>
      <c r="G142" s="31">
        <v>4.7757800000000003E-3</v>
      </c>
      <c r="H142" s="24">
        <v>7.1733000000000002</v>
      </c>
    </row>
    <row r="143" spans="1:8" x14ac:dyDescent="0.2">
      <c r="A143" s="27">
        <v>5</v>
      </c>
      <c r="B143" s="28" t="s">
        <v>617</v>
      </c>
      <c r="C143" s="28" t="s">
        <v>618</v>
      </c>
      <c r="D143" s="28" t="s">
        <v>521</v>
      </c>
      <c r="E143" s="29">
        <v>2500000</v>
      </c>
      <c r="F143" s="30">
        <v>2584.7674999999999</v>
      </c>
      <c r="G143" s="31">
        <v>4.7551900000000003E-3</v>
      </c>
      <c r="H143" s="24">
        <v>7.1452</v>
      </c>
    </row>
    <row r="144" spans="1:8" x14ac:dyDescent="0.2">
      <c r="A144" s="27">
        <v>6</v>
      </c>
      <c r="B144" s="28" t="s">
        <v>619</v>
      </c>
      <c r="C144" s="28" t="s">
        <v>1078</v>
      </c>
      <c r="D144" s="28" t="s">
        <v>521</v>
      </c>
      <c r="E144" s="29">
        <v>2500000</v>
      </c>
      <c r="F144" s="30">
        <v>2541.4850000000001</v>
      </c>
      <c r="G144" s="31">
        <v>4.6755599999999996E-3</v>
      </c>
      <c r="H144" s="24">
        <v>6.7484000000000002</v>
      </c>
    </row>
    <row r="145" spans="1:8" x14ac:dyDescent="0.2">
      <c r="A145" s="27">
        <v>7</v>
      </c>
      <c r="B145" s="28" t="s">
        <v>620</v>
      </c>
      <c r="C145" s="28" t="s">
        <v>621</v>
      </c>
      <c r="D145" s="28" t="s">
        <v>521</v>
      </c>
      <c r="E145" s="29">
        <v>1500000</v>
      </c>
      <c r="F145" s="30">
        <v>1524.171</v>
      </c>
      <c r="G145" s="31">
        <v>2.80401E-3</v>
      </c>
      <c r="H145" s="24">
        <v>6.8156999999999996</v>
      </c>
    </row>
    <row r="146" spans="1:8" ht="25.5" x14ac:dyDescent="0.2">
      <c r="A146" s="27">
        <v>8</v>
      </c>
      <c r="B146" s="28" t="s">
        <v>622</v>
      </c>
      <c r="C146" s="37" t="s">
        <v>891</v>
      </c>
      <c r="D146" s="28" t="s">
        <v>521</v>
      </c>
      <c r="E146" s="29">
        <v>1500000</v>
      </c>
      <c r="F146" s="30">
        <v>1506.0225</v>
      </c>
      <c r="G146" s="31">
        <v>2.7706200000000001E-3</v>
      </c>
      <c r="H146" s="24">
        <v>7.1029637846147855</v>
      </c>
    </row>
    <row r="147" spans="1:8" ht="25.5" x14ac:dyDescent="0.2">
      <c r="A147" s="27">
        <v>9</v>
      </c>
      <c r="B147" s="28" t="s">
        <v>623</v>
      </c>
      <c r="C147" s="28" t="s">
        <v>624</v>
      </c>
      <c r="D147" s="28" t="s">
        <v>521</v>
      </c>
      <c r="E147" s="29">
        <v>1270000</v>
      </c>
      <c r="F147" s="30">
        <v>1299.2811200000001</v>
      </c>
      <c r="G147" s="31">
        <v>2.3902799999999998E-3</v>
      </c>
      <c r="H147" s="24">
        <v>7.2165999999999997</v>
      </c>
    </row>
    <row r="148" spans="1:8" x14ac:dyDescent="0.2">
      <c r="A148" s="25"/>
      <c r="B148" s="25"/>
      <c r="C148" s="26" t="s">
        <v>145</v>
      </c>
      <c r="D148" s="25"/>
      <c r="E148" s="25" t="s">
        <v>146</v>
      </c>
      <c r="F148" s="32">
        <v>56723.72062</v>
      </c>
      <c r="G148" s="33">
        <v>0.10435439000000001</v>
      </c>
      <c r="H148" s="24" t="s">
        <v>146</v>
      </c>
    </row>
    <row r="149" spans="1:8" x14ac:dyDescent="0.2">
      <c r="A149" s="25"/>
      <c r="B149" s="25"/>
      <c r="C149" s="34"/>
      <c r="D149" s="25"/>
      <c r="E149" s="25"/>
      <c r="F149" s="35"/>
      <c r="G149" s="35"/>
      <c r="H149" s="24" t="s">
        <v>146</v>
      </c>
    </row>
    <row r="150" spans="1:8" x14ac:dyDescent="0.2">
      <c r="A150" s="25"/>
      <c r="B150" s="25"/>
      <c r="C150" s="26" t="s">
        <v>157</v>
      </c>
      <c r="D150" s="25"/>
      <c r="E150" s="25"/>
      <c r="F150" s="35"/>
      <c r="G150" s="35"/>
      <c r="H150" s="24" t="s">
        <v>146</v>
      </c>
    </row>
    <row r="151" spans="1:8" x14ac:dyDescent="0.2">
      <c r="A151" s="25"/>
      <c r="B151" s="25"/>
      <c r="C151" s="26" t="s">
        <v>145</v>
      </c>
      <c r="D151" s="25"/>
      <c r="E151" s="25" t="s">
        <v>146</v>
      </c>
      <c r="F151" s="36" t="s">
        <v>148</v>
      </c>
      <c r="G151" s="33">
        <v>0</v>
      </c>
      <c r="H151" s="24" t="s">
        <v>146</v>
      </c>
    </row>
    <row r="152" spans="1:8" x14ac:dyDescent="0.2">
      <c r="A152" s="25"/>
      <c r="B152" s="25"/>
      <c r="C152" s="34"/>
      <c r="D152" s="25"/>
      <c r="E152" s="25"/>
      <c r="F152" s="35"/>
      <c r="G152" s="35"/>
      <c r="H152" s="24" t="s">
        <v>146</v>
      </c>
    </row>
    <row r="153" spans="1:8" x14ac:dyDescent="0.2">
      <c r="A153" s="25"/>
      <c r="B153" s="25"/>
      <c r="C153" s="26" t="s">
        <v>158</v>
      </c>
      <c r="D153" s="25"/>
      <c r="E153" s="25"/>
      <c r="F153" s="32">
        <v>122829.19611999999</v>
      </c>
      <c r="G153" s="33">
        <v>0.22596833</v>
      </c>
      <c r="H153" s="24" t="s">
        <v>146</v>
      </c>
    </row>
    <row r="154" spans="1:8" x14ac:dyDescent="0.2">
      <c r="A154" s="25"/>
      <c r="B154" s="25"/>
      <c r="C154" s="34"/>
      <c r="D154" s="25"/>
      <c r="E154" s="25"/>
      <c r="F154" s="35"/>
      <c r="G154" s="35"/>
      <c r="H154" s="24" t="s">
        <v>146</v>
      </c>
    </row>
    <row r="155" spans="1:8" x14ac:dyDescent="0.2">
      <c r="A155" s="25"/>
      <c r="B155" s="25"/>
      <c r="C155" s="26" t="s">
        <v>159</v>
      </c>
      <c r="D155" s="25"/>
      <c r="E155" s="25"/>
      <c r="F155" s="35"/>
      <c r="G155" s="35"/>
      <c r="H155" s="24" t="s">
        <v>146</v>
      </c>
    </row>
    <row r="156" spans="1:8" x14ac:dyDescent="0.2">
      <c r="A156" s="25"/>
      <c r="B156" s="25"/>
      <c r="C156" s="26" t="s">
        <v>160</v>
      </c>
      <c r="D156" s="25"/>
      <c r="E156" s="25"/>
      <c r="F156" s="35"/>
      <c r="G156" s="35"/>
      <c r="H156" s="24" t="s">
        <v>146</v>
      </c>
    </row>
    <row r="157" spans="1:8" x14ac:dyDescent="0.2">
      <c r="A157" s="27">
        <v>1</v>
      </c>
      <c r="B157" s="28" t="s">
        <v>625</v>
      </c>
      <c r="C157" s="28" t="s">
        <v>626</v>
      </c>
      <c r="D157" s="28" t="s">
        <v>627</v>
      </c>
      <c r="E157" s="29">
        <v>500</v>
      </c>
      <c r="F157" s="30">
        <v>2490.6</v>
      </c>
      <c r="G157" s="31">
        <v>4.5819500000000004E-3</v>
      </c>
      <c r="H157" s="24">
        <v>7.2502000000000004</v>
      </c>
    </row>
    <row r="158" spans="1:8" x14ac:dyDescent="0.2">
      <c r="A158" s="27">
        <v>2</v>
      </c>
      <c r="B158" s="28" t="s">
        <v>628</v>
      </c>
      <c r="C158" s="28" t="s">
        <v>629</v>
      </c>
      <c r="D158" s="28" t="s">
        <v>630</v>
      </c>
      <c r="E158" s="29">
        <v>400</v>
      </c>
      <c r="F158" s="30">
        <v>1941.6780000000001</v>
      </c>
      <c r="G158" s="31">
        <v>3.5720999999999999E-3</v>
      </c>
      <c r="H158" s="24">
        <v>7.6668000000000003</v>
      </c>
    </row>
    <row r="159" spans="1:8" x14ac:dyDescent="0.2">
      <c r="A159" s="25"/>
      <c r="B159" s="25"/>
      <c r="C159" s="26" t="s">
        <v>145</v>
      </c>
      <c r="D159" s="25"/>
      <c r="E159" s="25" t="s">
        <v>146</v>
      </c>
      <c r="F159" s="32">
        <v>4432.2780000000002</v>
      </c>
      <c r="G159" s="33">
        <v>8.1540499999999995E-3</v>
      </c>
      <c r="H159" s="24" t="s">
        <v>146</v>
      </c>
    </row>
    <row r="160" spans="1:8" x14ac:dyDescent="0.2">
      <c r="A160" s="25"/>
      <c r="B160" s="25"/>
      <c r="C160" s="34"/>
      <c r="D160" s="25"/>
      <c r="E160" s="25"/>
      <c r="F160" s="35"/>
      <c r="G160" s="35"/>
      <c r="H160" s="24" t="s">
        <v>146</v>
      </c>
    </row>
    <row r="161" spans="1:8" x14ac:dyDescent="0.2">
      <c r="A161" s="25"/>
      <c r="B161" s="25"/>
      <c r="C161" s="26" t="s">
        <v>161</v>
      </c>
      <c r="D161" s="25"/>
      <c r="E161" s="25"/>
      <c r="F161" s="35"/>
      <c r="G161" s="35"/>
      <c r="H161" s="24" t="s">
        <v>146</v>
      </c>
    </row>
    <row r="162" spans="1:8" x14ac:dyDescent="0.2">
      <c r="A162" s="27">
        <v>1</v>
      </c>
      <c r="B162" s="28" t="s">
        <v>631</v>
      </c>
      <c r="C162" s="28" t="s">
        <v>632</v>
      </c>
      <c r="D162" s="28" t="s">
        <v>630</v>
      </c>
      <c r="E162" s="29">
        <v>300</v>
      </c>
      <c r="F162" s="30">
        <v>1485.7080000000001</v>
      </c>
      <c r="G162" s="31">
        <v>2.73325E-3</v>
      </c>
      <c r="H162" s="24">
        <v>7.3150000000000004</v>
      </c>
    </row>
    <row r="163" spans="1:8" x14ac:dyDescent="0.2">
      <c r="A163" s="25"/>
      <c r="B163" s="25"/>
      <c r="C163" s="26" t="s">
        <v>145</v>
      </c>
      <c r="D163" s="25"/>
      <c r="E163" s="25" t="s">
        <v>146</v>
      </c>
      <c r="F163" s="32">
        <v>1485.7080000000001</v>
      </c>
      <c r="G163" s="33">
        <v>2.73325E-3</v>
      </c>
      <c r="H163" s="24" t="s">
        <v>146</v>
      </c>
    </row>
    <row r="164" spans="1:8" x14ac:dyDescent="0.2">
      <c r="A164" s="25"/>
      <c r="B164" s="25"/>
      <c r="C164" s="34"/>
      <c r="D164" s="25"/>
      <c r="E164" s="25"/>
      <c r="F164" s="35"/>
      <c r="G164" s="35"/>
      <c r="H164" s="24" t="s">
        <v>146</v>
      </c>
    </row>
    <row r="165" spans="1:8" x14ac:dyDescent="0.2">
      <c r="A165" s="25"/>
      <c r="B165" s="25"/>
      <c r="C165" s="26" t="s">
        <v>162</v>
      </c>
      <c r="D165" s="25"/>
      <c r="E165" s="25"/>
      <c r="F165" s="35"/>
      <c r="G165" s="35"/>
      <c r="H165" s="24" t="s">
        <v>146</v>
      </c>
    </row>
    <row r="166" spans="1:8" x14ac:dyDescent="0.2">
      <c r="A166" s="25"/>
      <c r="B166" s="25"/>
      <c r="C166" s="26" t="s">
        <v>145</v>
      </c>
      <c r="D166" s="25"/>
      <c r="E166" s="25" t="s">
        <v>146</v>
      </c>
      <c r="F166" s="36" t="s">
        <v>148</v>
      </c>
      <c r="G166" s="33">
        <v>0</v>
      </c>
      <c r="H166" s="24" t="s">
        <v>146</v>
      </c>
    </row>
    <row r="167" spans="1:8" x14ac:dyDescent="0.2">
      <c r="A167" s="25"/>
      <c r="B167" s="25"/>
      <c r="C167" s="34"/>
      <c r="D167" s="25"/>
      <c r="E167" s="25"/>
      <c r="F167" s="35"/>
      <c r="G167" s="35"/>
      <c r="H167" s="24" t="s">
        <v>146</v>
      </c>
    </row>
    <row r="168" spans="1:8" x14ac:dyDescent="0.2">
      <c r="A168" s="25"/>
      <c r="B168" s="25"/>
      <c r="C168" s="26" t="s">
        <v>163</v>
      </c>
      <c r="D168" s="25"/>
      <c r="E168" s="25"/>
      <c r="F168" s="35"/>
      <c r="G168" s="35"/>
      <c r="H168" s="24" t="s">
        <v>146</v>
      </c>
    </row>
    <row r="169" spans="1:8" x14ac:dyDescent="0.2">
      <c r="A169" s="27">
        <v>1</v>
      </c>
      <c r="B169" s="28"/>
      <c r="C169" s="28" t="s">
        <v>164</v>
      </c>
      <c r="D169" s="28"/>
      <c r="E169" s="38"/>
      <c r="F169" s="30">
        <v>23664.714730566</v>
      </c>
      <c r="G169" s="31">
        <v>4.3535869999999997E-2</v>
      </c>
      <c r="H169" s="24">
        <v>6.57</v>
      </c>
    </row>
    <row r="170" spans="1:8" x14ac:dyDescent="0.2">
      <c r="A170" s="25"/>
      <c r="B170" s="25"/>
      <c r="C170" s="26" t="s">
        <v>145</v>
      </c>
      <c r="D170" s="25"/>
      <c r="E170" s="25" t="s">
        <v>146</v>
      </c>
      <c r="F170" s="32">
        <v>23664.714730566</v>
      </c>
      <c r="G170" s="33">
        <v>4.3535869999999997E-2</v>
      </c>
      <c r="H170" s="24" t="s">
        <v>146</v>
      </c>
    </row>
    <row r="171" spans="1:8" x14ac:dyDescent="0.2">
      <c r="A171" s="25"/>
      <c r="B171" s="25"/>
      <c r="C171" s="34"/>
      <c r="D171" s="25"/>
      <c r="E171" s="25"/>
      <c r="F171" s="35"/>
      <c r="G171" s="35"/>
      <c r="H171" s="24" t="s">
        <v>146</v>
      </c>
    </row>
    <row r="172" spans="1:8" x14ac:dyDescent="0.2">
      <c r="A172" s="25"/>
      <c r="B172" s="25"/>
      <c r="C172" s="26" t="s">
        <v>165</v>
      </c>
      <c r="D172" s="25"/>
      <c r="E172" s="25"/>
      <c r="F172" s="32">
        <v>29582.700730566001</v>
      </c>
      <c r="G172" s="33">
        <v>5.442317E-2</v>
      </c>
      <c r="H172" s="24" t="s">
        <v>146</v>
      </c>
    </row>
    <row r="173" spans="1:8" x14ac:dyDescent="0.2">
      <c r="A173" s="25"/>
      <c r="B173" s="25"/>
      <c r="C173" s="35"/>
      <c r="D173" s="25"/>
      <c r="E173" s="25"/>
      <c r="F173" s="25"/>
      <c r="G173" s="25"/>
      <c r="H173" s="24" t="s">
        <v>146</v>
      </c>
    </row>
    <row r="174" spans="1:8" x14ac:dyDescent="0.2">
      <c r="A174" s="25"/>
      <c r="B174" s="25"/>
      <c r="C174" s="26" t="s">
        <v>166</v>
      </c>
      <c r="D174" s="25"/>
      <c r="E174" s="25"/>
      <c r="F174" s="25"/>
      <c r="G174" s="25"/>
      <c r="H174" s="24" t="s">
        <v>146</v>
      </c>
    </row>
    <row r="175" spans="1:8" x14ac:dyDescent="0.2">
      <c r="A175" s="25"/>
      <c r="B175" s="25"/>
      <c r="C175" s="26" t="s">
        <v>167</v>
      </c>
      <c r="D175" s="25"/>
      <c r="E175" s="25"/>
      <c r="F175" s="25"/>
      <c r="G175" s="25"/>
      <c r="H175" s="24" t="s">
        <v>146</v>
      </c>
    </row>
    <row r="176" spans="1:8" ht="25.5" x14ac:dyDescent="0.2">
      <c r="A176" s="27">
        <v>1</v>
      </c>
      <c r="B176" s="28" t="s">
        <v>633</v>
      </c>
      <c r="C176" s="28" t="s">
        <v>1080</v>
      </c>
      <c r="D176" s="28"/>
      <c r="E176" s="70">
        <v>69857221.264400005</v>
      </c>
      <c r="F176" s="30">
        <v>10191.81929637</v>
      </c>
      <c r="G176" s="31">
        <v>1.8749849999999998E-2</v>
      </c>
      <c r="H176" s="24" t="s">
        <v>146</v>
      </c>
    </row>
    <row r="177" spans="1:17" x14ac:dyDescent="0.2">
      <c r="A177" s="25"/>
      <c r="B177" s="25"/>
      <c r="C177" s="26" t="s">
        <v>145</v>
      </c>
      <c r="D177" s="25"/>
      <c r="E177" s="25" t="s">
        <v>146</v>
      </c>
      <c r="F177" s="32">
        <v>10191.81929637</v>
      </c>
      <c r="G177" s="33">
        <v>1.8749849999999998E-2</v>
      </c>
      <c r="H177" s="24" t="s">
        <v>146</v>
      </c>
    </row>
    <row r="178" spans="1:17" x14ac:dyDescent="0.2">
      <c r="A178" s="25"/>
      <c r="B178" s="25"/>
      <c r="C178" s="34"/>
      <c r="D178" s="25"/>
      <c r="E178" s="25"/>
      <c r="F178" s="35"/>
      <c r="G178" s="35"/>
      <c r="H178" s="24" t="s">
        <v>146</v>
      </c>
    </row>
    <row r="179" spans="1:17" x14ac:dyDescent="0.2">
      <c r="A179" s="25"/>
      <c r="B179" s="25"/>
      <c r="C179" s="26" t="s">
        <v>168</v>
      </c>
      <c r="D179" s="25"/>
      <c r="E179" s="25"/>
      <c r="F179" s="25"/>
      <c r="G179" s="25"/>
      <c r="H179" s="24" t="s">
        <v>146</v>
      </c>
    </row>
    <row r="180" spans="1:17" x14ac:dyDescent="0.2">
      <c r="A180" s="25"/>
      <c r="B180" s="25"/>
      <c r="C180" s="26" t="s">
        <v>169</v>
      </c>
      <c r="D180" s="25"/>
      <c r="E180" s="25"/>
      <c r="F180" s="25"/>
      <c r="G180" s="25"/>
      <c r="H180" s="24" t="s">
        <v>146</v>
      </c>
    </row>
    <row r="181" spans="1:17" x14ac:dyDescent="0.2">
      <c r="A181" s="25"/>
      <c r="B181" s="25"/>
      <c r="C181" s="26" t="s">
        <v>145</v>
      </c>
      <c r="D181" s="25"/>
      <c r="E181" s="25" t="s">
        <v>146</v>
      </c>
      <c r="F181" s="36" t="s">
        <v>148</v>
      </c>
      <c r="G181" s="33">
        <v>0</v>
      </c>
      <c r="H181" s="24" t="s">
        <v>146</v>
      </c>
    </row>
    <row r="182" spans="1:17" x14ac:dyDescent="0.2">
      <c r="A182" s="25"/>
      <c r="B182" s="25"/>
      <c r="C182" s="34"/>
      <c r="D182" s="25"/>
      <c r="E182" s="25"/>
      <c r="F182" s="35"/>
      <c r="G182" s="35"/>
      <c r="H182" s="24" t="s">
        <v>146</v>
      </c>
    </row>
    <row r="183" spans="1:17" x14ac:dyDescent="0.2">
      <c r="A183" s="25"/>
      <c r="B183" s="25"/>
      <c r="C183" s="26" t="s">
        <v>170</v>
      </c>
      <c r="D183" s="25"/>
      <c r="E183" s="25"/>
      <c r="F183" s="35"/>
      <c r="G183" s="35"/>
      <c r="H183" s="24" t="s">
        <v>146</v>
      </c>
    </row>
    <row r="184" spans="1:17" x14ac:dyDescent="0.2">
      <c r="A184" s="25"/>
      <c r="B184" s="25"/>
      <c r="C184" s="26" t="s">
        <v>145</v>
      </c>
      <c r="D184" s="25"/>
      <c r="E184" s="25" t="s">
        <v>146</v>
      </c>
      <c r="F184" s="36" t="s">
        <v>148</v>
      </c>
      <c r="G184" s="33">
        <v>0</v>
      </c>
      <c r="H184" s="24" t="s">
        <v>146</v>
      </c>
    </row>
    <row r="185" spans="1:17" x14ac:dyDescent="0.2">
      <c r="A185" s="25"/>
      <c r="B185" s="25"/>
      <c r="C185" s="34"/>
      <c r="D185" s="25"/>
      <c r="E185" s="25"/>
      <c r="F185" s="35"/>
      <c r="G185" s="35"/>
      <c r="H185" s="24" t="s">
        <v>146</v>
      </c>
    </row>
    <row r="186" spans="1:17" x14ac:dyDescent="0.2">
      <c r="A186" s="38"/>
      <c r="B186" s="28"/>
      <c r="C186" s="28" t="s">
        <v>884</v>
      </c>
      <c r="D186" s="28"/>
      <c r="E186" s="38"/>
      <c r="F186" s="30">
        <v>1534.43521538</v>
      </c>
      <c r="G186" s="31">
        <v>2.8228900000000002E-3</v>
      </c>
      <c r="H186" s="24" t="s">
        <v>146</v>
      </c>
    </row>
    <row r="187" spans="1:17" x14ac:dyDescent="0.2">
      <c r="A187" s="34"/>
      <c r="B187" s="34"/>
      <c r="C187" s="26" t="s">
        <v>172</v>
      </c>
      <c r="D187" s="35"/>
      <c r="E187" s="35"/>
      <c r="F187" s="32">
        <f>F186+F177+F172+F153+F97</f>
        <v>543568.17421751597</v>
      </c>
      <c r="G187" s="39">
        <f>G186+G177+G172+G153+G97</f>
        <v>0.99999018392569361</v>
      </c>
      <c r="H187" s="24" t="s">
        <v>146</v>
      </c>
    </row>
    <row r="188" spans="1:17" x14ac:dyDescent="0.2">
      <c r="A188" s="40"/>
      <c r="B188" s="40"/>
      <c r="C188" s="40"/>
      <c r="D188" s="41"/>
      <c r="E188" s="41"/>
      <c r="F188" s="41"/>
      <c r="G188" s="41"/>
    </row>
    <row r="189" spans="1:17" x14ac:dyDescent="0.2">
      <c r="A189" s="42"/>
      <c r="B189" s="236" t="s">
        <v>858</v>
      </c>
      <c r="C189" s="236"/>
      <c r="D189" s="236"/>
      <c r="E189" s="236"/>
      <c r="F189" s="236"/>
      <c r="G189" s="236"/>
      <c r="H189" s="236"/>
      <c r="J189" s="44"/>
    </row>
    <row r="190" spans="1:17" x14ac:dyDescent="0.2">
      <c r="A190" s="42"/>
      <c r="B190" s="236" t="s">
        <v>859</v>
      </c>
      <c r="C190" s="236"/>
      <c r="D190" s="236"/>
      <c r="E190" s="236"/>
      <c r="F190" s="236"/>
      <c r="G190" s="236"/>
      <c r="H190" s="236"/>
      <c r="J190" s="44"/>
    </row>
    <row r="191" spans="1:17" x14ac:dyDescent="0.2">
      <c r="A191" s="42"/>
      <c r="B191" s="236" t="s">
        <v>860</v>
      </c>
      <c r="C191" s="236"/>
      <c r="D191" s="236"/>
      <c r="E191" s="236"/>
      <c r="F191" s="236"/>
      <c r="G191" s="236"/>
      <c r="H191" s="236"/>
      <c r="J191" s="44"/>
    </row>
    <row r="192" spans="1:17" s="46" customFormat="1" ht="65.25" customHeight="1" x14ac:dyDescent="0.25">
      <c r="A192" s="45"/>
      <c r="B192" s="237" t="s">
        <v>861</v>
      </c>
      <c r="C192" s="237"/>
      <c r="D192" s="237"/>
      <c r="E192" s="237"/>
      <c r="F192" s="237"/>
      <c r="G192" s="237"/>
      <c r="H192" s="237"/>
      <c r="I192"/>
      <c r="J192" s="44"/>
      <c r="K192"/>
      <c r="L192"/>
      <c r="M192"/>
      <c r="N192"/>
      <c r="O192"/>
      <c r="P192"/>
      <c r="Q192"/>
    </row>
    <row r="193" spans="1:10" x14ac:dyDescent="0.2">
      <c r="A193" s="42"/>
      <c r="B193" s="236" t="s">
        <v>862</v>
      </c>
      <c r="C193" s="236"/>
      <c r="D193" s="236"/>
      <c r="E193" s="236"/>
      <c r="F193" s="236"/>
      <c r="G193" s="236"/>
      <c r="H193" s="236"/>
      <c r="J193" s="44"/>
    </row>
    <row r="194" spans="1:10" x14ac:dyDescent="0.2">
      <c r="A194" s="47"/>
      <c r="B194" s="47"/>
      <c r="C194" s="47"/>
      <c r="D194" s="48"/>
      <c r="E194" s="48"/>
      <c r="F194" s="48"/>
      <c r="G194" s="48"/>
    </row>
    <row r="195" spans="1:10" x14ac:dyDescent="0.2">
      <c r="A195" s="47"/>
      <c r="B195" s="233" t="s">
        <v>173</v>
      </c>
      <c r="C195" s="234"/>
      <c r="D195" s="235"/>
      <c r="E195" s="49"/>
      <c r="F195" s="48"/>
      <c r="G195" s="48"/>
    </row>
    <row r="196" spans="1:10" ht="27" customHeight="1" x14ac:dyDescent="0.2">
      <c r="A196" s="42"/>
      <c r="B196" s="227" t="s">
        <v>174</v>
      </c>
      <c r="C196" s="228"/>
      <c r="D196" s="50" t="s">
        <v>892</v>
      </c>
      <c r="E196" s="51"/>
      <c r="F196" s="52"/>
      <c r="G196" s="52"/>
    </row>
    <row r="197" spans="1:10" ht="12.75" customHeight="1" x14ac:dyDescent="0.2">
      <c r="A197" s="42"/>
      <c r="B197" s="227" t="s">
        <v>863</v>
      </c>
      <c r="C197" s="228"/>
      <c r="D197" s="50" t="str">
        <f>"Rs. "&amp;TEXT(F81,"0.00")&amp;" lacs/ #"</f>
        <v>Rs. 5.36 lacs/ #</v>
      </c>
      <c r="E197" s="51"/>
      <c r="F197" s="52"/>
      <c r="G197" s="52"/>
    </row>
    <row r="198" spans="1:10" x14ac:dyDescent="0.2">
      <c r="A198" s="47"/>
      <c r="B198" s="231" t="s">
        <v>176</v>
      </c>
      <c r="C198" s="232"/>
      <c r="D198" s="35" t="s">
        <v>146</v>
      </c>
      <c r="E198" s="49"/>
      <c r="F198" s="48"/>
      <c r="G198" s="48"/>
    </row>
    <row r="199" spans="1:10" x14ac:dyDescent="0.2">
      <c r="A199" s="53"/>
      <c r="B199" s="54" t="s">
        <v>146</v>
      </c>
      <c r="C199" s="54" t="s">
        <v>864</v>
      </c>
      <c r="D199" s="54" t="s">
        <v>177</v>
      </c>
      <c r="E199" s="53"/>
      <c r="F199" s="53"/>
      <c r="G199" s="53"/>
      <c r="H199" s="53"/>
      <c r="J199" s="44"/>
    </row>
    <row r="200" spans="1:10" x14ac:dyDescent="0.2">
      <c r="A200" s="53"/>
      <c r="B200" s="55" t="s">
        <v>178</v>
      </c>
      <c r="C200" s="56">
        <v>45657</v>
      </c>
      <c r="D200" s="56">
        <v>45688</v>
      </c>
      <c r="E200" s="53"/>
      <c r="F200" s="53"/>
      <c r="G200" s="53"/>
      <c r="J200" s="44"/>
    </row>
    <row r="201" spans="1:10" x14ac:dyDescent="0.2">
      <c r="A201" s="57"/>
      <c r="B201" s="28" t="s">
        <v>179</v>
      </c>
      <c r="C201" s="58">
        <v>180.2072</v>
      </c>
      <c r="D201" s="58">
        <v>173.1011</v>
      </c>
      <c r="E201" s="57"/>
      <c r="F201" s="59"/>
      <c r="G201" s="60"/>
    </row>
    <row r="202" spans="1:10" ht="25.5" x14ac:dyDescent="0.2">
      <c r="A202" s="57"/>
      <c r="B202" s="37" t="s">
        <v>893</v>
      </c>
      <c r="C202" s="58">
        <v>44.319200000000002</v>
      </c>
      <c r="D202" s="58">
        <v>42.223500000000001</v>
      </c>
      <c r="E202" s="57"/>
      <c r="F202" s="59"/>
      <c r="G202" s="60"/>
    </row>
    <row r="203" spans="1:10" x14ac:dyDescent="0.2">
      <c r="A203" s="57"/>
      <c r="B203" s="28" t="s">
        <v>180</v>
      </c>
      <c r="C203" s="58">
        <v>158.15600000000001</v>
      </c>
      <c r="D203" s="58">
        <v>151.774</v>
      </c>
      <c r="E203" s="57"/>
      <c r="F203" s="59"/>
      <c r="G203" s="60"/>
    </row>
    <row r="204" spans="1:10" ht="25.5" x14ac:dyDescent="0.2">
      <c r="A204" s="57"/>
      <c r="B204" s="37" t="s">
        <v>894</v>
      </c>
      <c r="C204" s="58">
        <v>29.13</v>
      </c>
      <c r="D204" s="58">
        <v>27.706</v>
      </c>
      <c r="E204" s="57"/>
      <c r="F204" s="59"/>
      <c r="G204" s="60"/>
    </row>
    <row r="205" spans="1:10" x14ac:dyDescent="0.2">
      <c r="A205" s="57"/>
      <c r="B205" s="57"/>
      <c r="C205" s="57"/>
      <c r="D205" s="57"/>
      <c r="E205" s="57"/>
      <c r="F205" s="57"/>
      <c r="G205" s="57"/>
    </row>
    <row r="206" spans="1:10" x14ac:dyDescent="0.2">
      <c r="A206" s="57"/>
      <c r="B206" s="231" t="s">
        <v>865</v>
      </c>
      <c r="C206" s="232"/>
      <c r="D206" s="26" t="s">
        <v>146</v>
      </c>
      <c r="E206" s="57"/>
      <c r="F206" s="57"/>
      <c r="G206" s="57"/>
    </row>
    <row r="207" spans="1:10" x14ac:dyDescent="0.2">
      <c r="A207" s="57"/>
      <c r="B207" s="84" t="s">
        <v>178</v>
      </c>
      <c r="C207" s="85" t="s">
        <v>634</v>
      </c>
      <c r="D207" s="85" t="s">
        <v>635</v>
      </c>
      <c r="E207" s="57"/>
      <c r="F207" s="57"/>
      <c r="G207" s="57"/>
    </row>
    <row r="208" spans="1:10" ht="25.5" x14ac:dyDescent="0.2">
      <c r="A208" s="57"/>
      <c r="B208" s="37" t="s">
        <v>893</v>
      </c>
      <c r="C208" s="86">
        <v>0.35</v>
      </c>
      <c r="D208" s="86">
        <v>0.35</v>
      </c>
      <c r="E208" s="57"/>
      <c r="F208" s="59"/>
      <c r="G208" s="60"/>
    </row>
    <row r="209" spans="1:15" ht="25.5" x14ac:dyDescent="0.2">
      <c r="A209" s="57"/>
      <c r="B209" s="37" t="s">
        <v>894</v>
      </c>
      <c r="C209" s="86">
        <v>0.25</v>
      </c>
      <c r="D209" s="86">
        <v>0.25</v>
      </c>
      <c r="E209" s="57"/>
      <c r="F209" s="59"/>
      <c r="G209" s="60"/>
    </row>
    <row r="210" spans="1:15" x14ac:dyDescent="0.2">
      <c r="A210" s="57"/>
      <c r="B210" s="87"/>
      <c r="C210" s="87"/>
      <c r="D210" s="88"/>
      <c r="E210" s="57"/>
      <c r="F210" s="59"/>
      <c r="G210" s="60"/>
    </row>
    <row r="211" spans="1:15" ht="24.75" customHeight="1" x14ac:dyDescent="0.2">
      <c r="A211" s="53"/>
      <c r="B211" s="227" t="s">
        <v>181</v>
      </c>
      <c r="C211" s="228"/>
      <c r="D211" s="50" t="s">
        <v>175</v>
      </c>
      <c r="E211" s="64"/>
      <c r="F211" s="53"/>
      <c r="G211" s="53"/>
    </row>
    <row r="212" spans="1:15" ht="24" customHeight="1" x14ac:dyDescent="0.2">
      <c r="A212" s="53"/>
      <c r="B212" s="227" t="s">
        <v>182</v>
      </c>
      <c r="C212" s="228"/>
      <c r="D212" s="50" t="s">
        <v>175</v>
      </c>
      <c r="E212" s="64"/>
      <c r="F212" s="53"/>
      <c r="G212" s="53"/>
    </row>
    <row r="213" spans="1:15" x14ac:dyDescent="0.2">
      <c r="A213" s="53"/>
      <c r="B213" s="227" t="s">
        <v>183</v>
      </c>
      <c r="C213" s="228"/>
      <c r="D213" s="50" t="s">
        <v>175</v>
      </c>
      <c r="E213" s="64"/>
      <c r="F213" s="53"/>
      <c r="G213" s="53"/>
    </row>
    <row r="214" spans="1:15" x14ac:dyDescent="0.2">
      <c r="A214" s="53"/>
      <c r="B214" s="227" t="s">
        <v>184</v>
      </c>
      <c r="C214" s="228"/>
      <c r="D214" s="65">
        <v>0.92643283549610833</v>
      </c>
      <c r="E214" s="53"/>
      <c r="F214" s="43"/>
      <c r="G214" s="63"/>
    </row>
    <row r="216" spans="1:15" s="89" customFormat="1" x14ac:dyDescent="0.2">
      <c r="B216" s="90" t="s">
        <v>1096</v>
      </c>
      <c r="C216" s="91"/>
      <c r="D216" s="91"/>
      <c r="E216" s="91"/>
      <c r="F216" s="91"/>
      <c r="G216" s="91"/>
      <c r="I216"/>
      <c r="J216"/>
      <c r="K216"/>
      <c r="L216"/>
      <c r="M216"/>
      <c r="N216"/>
      <c r="O216"/>
    </row>
    <row r="217" spans="1:15" s="89" customFormat="1" ht="63.75" x14ac:dyDescent="0.2">
      <c r="B217" s="92" t="s">
        <v>896</v>
      </c>
      <c r="C217" s="92" t="s">
        <v>897</v>
      </c>
      <c r="D217" s="92" t="s">
        <v>898</v>
      </c>
      <c r="E217" s="92" t="s">
        <v>899</v>
      </c>
      <c r="F217" s="92" t="s">
        <v>900</v>
      </c>
      <c r="G217" s="91"/>
      <c r="I217"/>
      <c r="J217"/>
      <c r="K217"/>
      <c r="L217"/>
      <c r="M217"/>
      <c r="N217"/>
      <c r="O217"/>
    </row>
    <row r="218" spans="1:15" s="89" customFormat="1" ht="38.25" x14ac:dyDescent="0.2">
      <c r="B218" s="93" t="s">
        <v>901</v>
      </c>
      <c r="C218" s="94" t="s">
        <v>902</v>
      </c>
      <c r="D218" s="95">
        <v>0</v>
      </c>
      <c r="E218" s="1">
        <v>0</v>
      </c>
      <c r="F218" s="96">
        <v>1000</v>
      </c>
      <c r="G218" s="91"/>
      <c r="I218"/>
      <c r="J218"/>
      <c r="K218"/>
      <c r="L218"/>
      <c r="M218"/>
      <c r="N218"/>
      <c r="O218"/>
    </row>
    <row r="219" spans="1:15" s="89" customFormat="1" x14ac:dyDescent="0.2">
      <c r="B219" s="90"/>
      <c r="C219" s="91"/>
      <c r="D219" s="91"/>
      <c r="E219" s="91"/>
      <c r="F219" s="91"/>
      <c r="G219" s="91"/>
      <c r="I219"/>
      <c r="J219"/>
      <c r="K219"/>
      <c r="L219"/>
      <c r="M219"/>
      <c r="N219"/>
      <c r="O219"/>
    </row>
    <row r="220" spans="1:15" s="89" customFormat="1" x14ac:dyDescent="0.2">
      <c r="B220" s="97" t="s">
        <v>903</v>
      </c>
      <c r="C220" s="97" t="s">
        <v>904</v>
      </c>
      <c r="D220" s="245" t="s">
        <v>905</v>
      </c>
      <c r="E220" s="246"/>
      <c r="F220" s="247" t="s">
        <v>906</v>
      </c>
      <c r="G220" s="247"/>
      <c r="I220"/>
      <c r="J220"/>
      <c r="K220"/>
      <c r="L220"/>
      <c r="M220"/>
      <c r="N220"/>
      <c r="O220"/>
    </row>
    <row r="221" spans="1:15" s="89" customFormat="1" ht="25.5" x14ac:dyDescent="0.2">
      <c r="B221" s="98" t="s">
        <v>907</v>
      </c>
      <c r="C221" s="99" t="s">
        <v>908</v>
      </c>
      <c r="D221" s="248">
        <v>0</v>
      </c>
      <c r="E221" s="249"/>
      <c r="F221" s="248">
        <v>0</v>
      </c>
      <c r="G221" s="249"/>
      <c r="I221"/>
      <c r="J221"/>
      <c r="K221"/>
      <c r="L221"/>
      <c r="M221"/>
      <c r="N221"/>
      <c r="O221"/>
    </row>
    <row r="222" spans="1:15" s="89" customFormat="1" x14ac:dyDescent="0.2">
      <c r="B222" s="250" t="s">
        <v>909</v>
      </c>
      <c r="C222" s="251"/>
      <c r="D222" s="251"/>
      <c r="E222" s="251"/>
      <c r="F222" s="251"/>
      <c r="G222" s="252"/>
      <c r="I222"/>
      <c r="J222"/>
      <c r="K222"/>
      <c r="L222"/>
      <c r="M222"/>
      <c r="N222"/>
      <c r="O222"/>
    </row>
    <row r="223" spans="1:15" s="89" customFormat="1" x14ac:dyDescent="0.2">
      <c r="B223" s="247" t="s">
        <v>903</v>
      </c>
      <c r="C223" s="247" t="s">
        <v>904</v>
      </c>
      <c r="D223" s="250" t="s">
        <v>910</v>
      </c>
      <c r="E223" s="251"/>
      <c r="F223" s="252"/>
      <c r="G223" s="98"/>
      <c r="I223"/>
      <c r="J223"/>
      <c r="K223"/>
      <c r="L223"/>
      <c r="M223"/>
      <c r="N223"/>
      <c r="O223"/>
    </row>
    <row r="224" spans="1:15" s="89" customFormat="1" ht="51" x14ac:dyDescent="0.2">
      <c r="B224" s="247"/>
      <c r="C224" s="247"/>
      <c r="D224" s="100" t="s">
        <v>911</v>
      </c>
      <c r="E224" s="100" t="s">
        <v>912</v>
      </c>
      <c r="F224" s="100" t="s">
        <v>913</v>
      </c>
      <c r="G224" s="100" t="s">
        <v>1097</v>
      </c>
      <c r="H224" s="101"/>
      <c r="I224"/>
      <c r="J224"/>
      <c r="K224"/>
      <c r="L224"/>
      <c r="M224"/>
      <c r="N224"/>
      <c r="O224"/>
    </row>
    <row r="225" spans="2:15" s="89" customFormat="1" ht="25.5" x14ac:dyDescent="0.2">
      <c r="B225" s="102" t="s">
        <v>907</v>
      </c>
      <c r="C225" s="99" t="s">
        <v>908</v>
      </c>
      <c r="D225" s="103">
        <v>700</v>
      </c>
      <c r="E225" s="103">
        <v>24.098357999999998</v>
      </c>
      <c r="F225" s="104">
        <v>724.09835799999996</v>
      </c>
      <c r="G225" s="105">
        <f>F225/F187</f>
        <v>1.3321205919429758E-3</v>
      </c>
      <c r="H225" s="106"/>
      <c r="I225"/>
      <c r="J225"/>
      <c r="K225"/>
      <c r="L225"/>
      <c r="M225"/>
      <c r="N225"/>
      <c r="O225"/>
    </row>
    <row r="226" spans="2:15" s="89" customFormat="1" ht="29.25" customHeight="1" x14ac:dyDescent="0.2">
      <c r="B226" s="253" t="s">
        <v>914</v>
      </c>
      <c r="C226" s="254"/>
      <c r="D226" s="254"/>
      <c r="E226" s="254"/>
      <c r="F226" s="254"/>
      <c r="G226" s="255"/>
      <c r="I226"/>
      <c r="J226"/>
      <c r="K226"/>
      <c r="L226"/>
      <c r="M226"/>
      <c r="N226"/>
      <c r="O226"/>
    </row>
    <row r="227" spans="2:15" s="89" customFormat="1" x14ac:dyDescent="0.2">
      <c r="I227"/>
      <c r="J227"/>
      <c r="K227"/>
      <c r="L227"/>
      <c r="M227"/>
      <c r="N227"/>
      <c r="O227"/>
    </row>
    <row r="228" spans="2:15" s="89" customFormat="1" x14ac:dyDescent="0.2">
      <c r="B228" s="256" t="s">
        <v>915</v>
      </c>
      <c r="C228" s="257"/>
      <c r="D228" s="258"/>
      <c r="I228"/>
      <c r="J228"/>
      <c r="K228"/>
      <c r="L228"/>
      <c r="M228"/>
      <c r="N228"/>
      <c r="O228"/>
    </row>
    <row r="229" spans="2:15" s="89" customFormat="1" ht="38.25" x14ac:dyDescent="0.2">
      <c r="B229" s="259" t="s">
        <v>916</v>
      </c>
      <c r="C229" s="259"/>
      <c r="D229" s="107" t="s">
        <v>523</v>
      </c>
      <c r="I229"/>
      <c r="J229"/>
      <c r="K229"/>
      <c r="L229"/>
      <c r="M229"/>
      <c r="N229"/>
      <c r="O229"/>
    </row>
    <row r="230" spans="2:15" s="89" customFormat="1" x14ac:dyDescent="0.2">
      <c r="B230" s="259" t="s">
        <v>917</v>
      </c>
      <c r="C230" s="259"/>
      <c r="D230" s="107"/>
      <c r="I230"/>
      <c r="J230"/>
      <c r="K230"/>
      <c r="L230"/>
      <c r="M230"/>
      <c r="N230"/>
      <c r="O230"/>
    </row>
    <row r="231" spans="2:15" s="89" customFormat="1" x14ac:dyDescent="0.2">
      <c r="B231" s="260"/>
      <c r="C231" s="261"/>
      <c r="D231" s="108"/>
      <c r="I231"/>
      <c r="J231"/>
      <c r="K231"/>
      <c r="L231"/>
      <c r="M231"/>
      <c r="N231"/>
      <c r="O231"/>
    </row>
    <row r="232" spans="2:15" s="89" customFormat="1" x14ac:dyDescent="0.2">
      <c r="B232" s="259" t="s">
        <v>918</v>
      </c>
      <c r="C232" s="259"/>
      <c r="D232" s="109">
        <v>6.769626380658881</v>
      </c>
      <c r="I232"/>
      <c r="J232"/>
      <c r="K232"/>
      <c r="L232"/>
      <c r="M232"/>
      <c r="N232"/>
      <c r="O232"/>
    </row>
    <row r="233" spans="2:15" s="89" customFormat="1" x14ac:dyDescent="0.2">
      <c r="B233" s="260"/>
      <c r="C233" s="261"/>
      <c r="D233" s="110"/>
      <c r="I233"/>
      <c r="J233"/>
      <c r="K233"/>
      <c r="L233"/>
      <c r="M233"/>
      <c r="N233"/>
      <c r="O233"/>
    </row>
    <row r="234" spans="2:15" s="89" customFormat="1" x14ac:dyDescent="0.2">
      <c r="B234" s="259" t="s">
        <v>919</v>
      </c>
      <c r="C234" s="259"/>
      <c r="D234" s="109">
        <v>4.1526398390267261</v>
      </c>
      <c r="I234"/>
      <c r="J234"/>
      <c r="K234"/>
      <c r="L234"/>
      <c r="M234"/>
      <c r="N234"/>
      <c r="O234"/>
    </row>
    <row r="235" spans="2:15" s="89" customFormat="1" x14ac:dyDescent="0.2">
      <c r="B235" s="259" t="s">
        <v>920</v>
      </c>
      <c r="C235" s="259"/>
      <c r="D235" s="109">
        <v>6.3534319455099464</v>
      </c>
      <c r="I235"/>
      <c r="J235"/>
      <c r="K235"/>
      <c r="L235"/>
      <c r="M235"/>
      <c r="N235"/>
      <c r="O235"/>
    </row>
    <row r="236" spans="2:15" s="89" customFormat="1" x14ac:dyDescent="0.2">
      <c r="B236" s="260"/>
      <c r="C236" s="261"/>
      <c r="D236" s="108"/>
      <c r="I236"/>
      <c r="J236"/>
      <c r="K236"/>
      <c r="L236"/>
      <c r="M236"/>
      <c r="N236"/>
      <c r="O236"/>
    </row>
    <row r="237" spans="2:15" s="89" customFormat="1" x14ac:dyDescent="0.2">
      <c r="B237" s="259" t="s">
        <v>921</v>
      </c>
      <c r="C237" s="259"/>
      <c r="D237" s="111" t="s">
        <v>924</v>
      </c>
      <c r="I237"/>
      <c r="J237"/>
      <c r="K237"/>
      <c r="L237"/>
      <c r="M237"/>
      <c r="N237"/>
      <c r="O237"/>
    </row>
    <row r="238" spans="2:15" s="89" customFormat="1" x14ac:dyDescent="0.2">
      <c r="B238" s="260" t="s">
        <v>922</v>
      </c>
      <c r="C238" s="262"/>
      <c r="D238" s="261"/>
      <c r="I238"/>
      <c r="J238"/>
      <c r="K238"/>
      <c r="L238"/>
      <c r="M238"/>
      <c r="N238"/>
      <c r="O238"/>
    </row>
    <row r="240" spans="2:15" x14ac:dyDescent="0.2">
      <c r="B240" s="229" t="s">
        <v>866</v>
      </c>
      <c r="C240" s="229"/>
    </row>
    <row r="242" spans="2:4" ht="153.75" customHeight="1" x14ac:dyDescent="0.2"/>
    <row r="245" spans="2:4" x14ac:dyDescent="0.2">
      <c r="B245" s="66" t="s">
        <v>867</v>
      </c>
      <c r="C245" s="67"/>
      <c r="D245" s="66"/>
    </row>
    <row r="246" spans="2:4" x14ac:dyDescent="0.2">
      <c r="B246" s="66" t="s">
        <v>923</v>
      </c>
      <c r="D246" s="66"/>
    </row>
    <row r="247" spans="2:4" ht="165" customHeight="1" x14ac:dyDescent="0.2"/>
  </sheetData>
  <mergeCells count="38">
    <mergeCell ref="B237:C237"/>
    <mergeCell ref="B238:D238"/>
    <mergeCell ref="B240:C240"/>
    <mergeCell ref="B232:C232"/>
    <mergeCell ref="B233:C233"/>
    <mergeCell ref="B234:C234"/>
    <mergeCell ref="B235:C235"/>
    <mergeCell ref="B236:C236"/>
    <mergeCell ref="B226:G226"/>
    <mergeCell ref="B228:D228"/>
    <mergeCell ref="B229:C229"/>
    <mergeCell ref="B230:C230"/>
    <mergeCell ref="B231:C231"/>
    <mergeCell ref="D221:E221"/>
    <mergeCell ref="F221:G221"/>
    <mergeCell ref="B222:G222"/>
    <mergeCell ref="B223:B224"/>
    <mergeCell ref="C223:C224"/>
    <mergeCell ref="D223:F223"/>
    <mergeCell ref="B211:C211"/>
    <mergeCell ref="D220:E220"/>
    <mergeCell ref="F220:G220"/>
    <mergeCell ref="B206:C206"/>
    <mergeCell ref="B212:C212"/>
    <mergeCell ref="B213:C213"/>
    <mergeCell ref="B214:C214"/>
    <mergeCell ref="A1:H1"/>
    <mergeCell ref="A2:H2"/>
    <mergeCell ref="A3:H3"/>
    <mergeCell ref="B197:C197"/>
    <mergeCell ref="B198:C198"/>
    <mergeCell ref="B195:D195"/>
    <mergeCell ref="B196:C196"/>
    <mergeCell ref="B189:H189"/>
    <mergeCell ref="B190:H190"/>
    <mergeCell ref="B191:H191"/>
    <mergeCell ref="B192:H192"/>
    <mergeCell ref="B193:H193"/>
  </mergeCells>
  <hyperlinks>
    <hyperlink ref="I1" location="Index!B2" display="Index" xr:uid="{C0FB3C4A-8558-4DFB-973F-09200200C7B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7F0F5-C66B-40B2-97C7-B659C8784634}">
  <sheetPr>
    <outlinePr summaryBelow="0" summaryRight="0"/>
  </sheetPr>
  <dimension ref="A1:Q209"/>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2.4257812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636</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14</v>
      </c>
      <c r="C7" s="28" t="s">
        <v>15</v>
      </c>
      <c r="D7" s="28" t="s">
        <v>16</v>
      </c>
      <c r="E7" s="29">
        <v>150000</v>
      </c>
      <c r="F7" s="30">
        <v>1897.65</v>
      </c>
      <c r="G7" s="31">
        <v>8.7953450000000002E-2</v>
      </c>
      <c r="H7" s="24" t="s">
        <v>146</v>
      </c>
    </row>
    <row r="8" spans="1:9" x14ac:dyDescent="0.2">
      <c r="A8" s="27">
        <v>2</v>
      </c>
      <c r="B8" s="28" t="s">
        <v>347</v>
      </c>
      <c r="C8" s="28" t="s">
        <v>348</v>
      </c>
      <c r="D8" s="28" t="s">
        <v>349</v>
      </c>
      <c r="E8" s="29">
        <v>228800</v>
      </c>
      <c r="F8" s="30">
        <v>1023.88</v>
      </c>
      <c r="G8" s="31">
        <v>4.7455419999999998E-2</v>
      </c>
      <c r="H8" s="24" t="s">
        <v>146</v>
      </c>
    </row>
    <row r="9" spans="1:9" x14ac:dyDescent="0.2">
      <c r="A9" s="27">
        <v>3</v>
      </c>
      <c r="B9" s="28" t="s">
        <v>76</v>
      </c>
      <c r="C9" s="28" t="s">
        <v>77</v>
      </c>
      <c r="D9" s="28" t="s">
        <v>19</v>
      </c>
      <c r="E9" s="29">
        <v>285600</v>
      </c>
      <c r="F9" s="30">
        <v>991.60320000000002</v>
      </c>
      <c r="G9" s="31">
        <v>4.5959430000000003E-2</v>
      </c>
      <c r="H9" s="24" t="s">
        <v>146</v>
      </c>
    </row>
    <row r="10" spans="1:9" x14ac:dyDescent="0.2">
      <c r="A10" s="27">
        <v>4</v>
      </c>
      <c r="B10" s="28" t="s">
        <v>31</v>
      </c>
      <c r="C10" s="28" t="s">
        <v>32</v>
      </c>
      <c r="D10" s="28" t="s">
        <v>33</v>
      </c>
      <c r="E10" s="29">
        <v>76300</v>
      </c>
      <c r="F10" s="30">
        <v>955.88639999999998</v>
      </c>
      <c r="G10" s="31">
        <v>4.4304009999999998E-2</v>
      </c>
      <c r="H10" s="24" t="s">
        <v>146</v>
      </c>
    </row>
    <row r="11" spans="1:9" x14ac:dyDescent="0.2">
      <c r="A11" s="27">
        <v>5</v>
      </c>
      <c r="B11" s="28" t="s">
        <v>357</v>
      </c>
      <c r="C11" s="28" t="s">
        <v>358</v>
      </c>
      <c r="D11" s="28" t="s">
        <v>275</v>
      </c>
      <c r="E11" s="29">
        <v>125400</v>
      </c>
      <c r="F11" s="30">
        <v>897.98940000000005</v>
      </c>
      <c r="G11" s="31">
        <v>4.1620560000000001E-2</v>
      </c>
      <c r="H11" s="24" t="s">
        <v>146</v>
      </c>
    </row>
    <row r="12" spans="1:9" ht="25.5" x14ac:dyDescent="0.2">
      <c r="A12" s="27">
        <v>6</v>
      </c>
      <c r="B12" s="28" t="s">
        <v>104</v>
      </c>
      <c r="C12" s="28" t="s">
        <v>105</v>
      </c>
      <c r="D12" s="28" t="s">
        <v>25</v>
      </c>
      <c r="E12" s="29">
        <v>144000</v>
      </c>
      <c r="F12" s="30">
        <v>738.43200000000002</v>
      </c>
      <c r="G12" s="31">
        <v>3.42253E-2</v>
      </c>
      <c r="H12" s="24" t="s">
        <v>146</v>
      </c>
    </row>
    <row r="13" spans="1:9" x14ac:dyDescent="0.2">
      <c r="A13" s="27">
        <v>7</v>
      </c>
      <c r="B13" s="28" t="s">
        <v>335</v>
      </c>
      <c r="C13" s="28" t="s">
        <v>336</v>
      </c>
      <c r="D13" s="28" t="s">
        <v>195</v>
      </c>
      <c r="E13" s="29">
        <v>16975</v>
      </c>
      <c r="F13" s="30">
        <v>698.07989999999995</v>
      </c>
      <c r="G13" s="31">
        <v>3.2355040000000002E-2</v>
      </c>
      <c r="H13" s="24" t="s">
        <v>146</v>
      </c>
    </row>
    <row r="14" spans="1:9" x14ac:dyDescent="0.2">
      <c r="A14" s="27">
        <v>8</v>
      </c>
      <c r="B14" s="28" t="s">
        <v>339</v>
      </c>
      <c r="C14" s="28" t="s">
        <v>340</v>
      </c>
      <c r="D14" s="28" t="s">
        <v>33</v>
      </c>
      <c r="E14" s="29">
        <v>70625</v>
      </c>
      <c r="F14" s="30">
        <v>696.43312500000002</v>
      </c>
      <c r="G14" s="31">
        <v>3.2278710000000002E-2</v>
      </c>
      <c r="H14" s="24" t="s">
        <v>146</v>
      </c>
    </row>
    <row r="15" spans="1:9" x14ac:dyDescent="0.2">
      <c r="A15" s="27">
        <v>9</v>
      </c>
      <c r="B15" s="28" t="s">
        <v>11</v>
      </c>
      <c r="C15" s="28" t="s">
        <v>12</v>
      </c>
      <c r="D15" s="28" t="s">
        <v>13</v>
      </c>
      <c r="E15" s="29">
        <v>18750</v>
      </c>
      <c r="F15" s="30">
        <v>668.88750000000005</v>
      </c>
      <c r="G15" s="31">
        <v>3.100201E-2</v>
      </c>
      <c r="H15" s="24" t="s">
        <v>146</v>
      </c>
    </row>
    <row r="16" spans="1:9" x14ac:dyDescent="0.2">
      <c r="A16" s="27">
        <v>10</v>
      </c>
      <c r="B16" s="28" t="s">
        <v>637</v>
      </c>
      <c r="C16" s="28" t="s">
        <v>638</v>
      </c>
      <c r="D16" s="28" t="s">
        <v>47</v>
      </c>
      <c r="E16" s="29">
        <v>85800</v>
      </c>
      <c r="F16" s="30">
        <v>639.25289999999995</v>
      </c>
      <c r="G16" s="31">
        <v>2.962849E-2</v>
      </c>
      <c r="H16" s="24" t="s">
        <v>146</v>
      </c>
    </row>
    <row r="17" spans="1:8" ht="25.5" x14ac:dyDescent="0.2">
      <c r="A17" s="27">
        <v>11</v>
      </c>
      <c r="B17" s="28" t="s">
        <v>639</v>
      </c>
      <c r="C17" s="28" t="s">
        <v>640</v>
      </c>
      <c r="D17" s="28" t="s">
        <v>641</v>
      </c>
      <c r="E17" s="29">
        <v>27600</v>
      </c>
      <c r="F17" s="30">
        <v>631.43280000000004</v>
      </c>
      <c r="G17" s="31">
        <v>2.926604E-2</v>
      </c>
      <c r="H17" s="24" t="s">
        <v>146</v>
      </c>
    </row>
    <row r="18" spans="1:8" ht="25.5" x14ac:dyDescent="0.2">
      <c r="A18" s="27">
        <v>12</v>
      </c>
      <c r="B18" s="28" t="s">
        <v>337</v>
      </c>
      <c r="C18" s="28" t="s">
        <v>338</v>
      </c>
      <c r="D18" s="28" t="s">
        <v>198</v>
      </c>
      <c r="E18" s="29">
        <v>32900</v>
      </c>
      <c r="F18" s="30">
        <v>573.75954999999999</v>
      </c>
      <c r="G18" s="31">
        <v>2.6592959999999999E-2</v>
      </c>
      <c r="H18" s="24" t="s">
        <v>146</v>
      </c>
    </row>
    <row r="19" spans="1:8" x14ac:dyDescent="0.2">
      <c r="A19" s="27">
        <v>13</v>
      </c>
      <c r="B19" s="28" t="s">
        <v>448</v>
      </c>
      <c r="C19" s="28" t="s">
        <v>449</v>
      </c>
      <c r="D19" s="28" t="s">
        <v>33</v>
      </c>
      <c r="E19" s="29">
        <v>50500</v>
      </c>
      <c r="F19" s="30">
        <v>500.55599999999998</v>
      </c>
      <c r="G19" s="31">
        <v>2.3200080000000001E-2</v>
      </c>
      <c r="H19" s="24" t="s">
        <v>146</v>
      </c>
    </row>
    <row r="20" spans="1:8" x14ac:dyDescent="0.2">
      <c r="A20" s="27">
        <v>14</v>
      </c>
      <c r="B20" s="28" t="s">
        <v>445</v>
      </c>
      <c r="C20" s="28" t="s">
        <v>446</v>
      </c>
      <c r="D20" s="28" t="s">
        <v>447</v>
      </c>
      <c r="E20" s="29">
        <v>81200</v>
      </c>
      <c r="F20" s="30">
        <v>482.57159999999999</v>
      </c>
      <c r="G20" s="31">
        <v>2.2366520000000001E-2</v>
      </c>
      <c r="H20" s="24" t="s">
        <v>146</v>
      </c>
    </row>
    <row r="21" spans="1:8" x14ac:dyDescent="0.2">
      <c r="A21" s="27">
        <v>15</v>
      </c>
      <c r="B21" s="28" t="s">
        <v>309</v>
      </c>
      <c r="C21" s="28" t="s">
        <v>310</v>
      </c>
      <c r="D21" s="28" t="s">
        <v>223</v>
      </c>
      <c r="E21" s="29">
        <v>58000</v>
      </c>
      <c r="F21" s="30">
        <v>443.52600000000001</v>
      </c>
      <c r="G21" s="31">
        <v>2.055682E-2</v>
      </c>
      <c r="H21" s="24" t="s">
        <v>146</v>
      </c>
    </row>
    <row r="22" spans="1:8" x14ac:dyDescent="0.2">
      <c r="A22" s="27">
        <v>16</v>
      </c>
      <c r="B22" s="28" t="s">
        <v>642</v>
      </c>
      <c r="C22" s="28" t="s">
        <v>643</v>
      </c>
      <c r="D22" s="28" t="s">
        <v>33</v>
      </c>
      <c r="E22" s="29">
        <v>400000</v>
      </c>
      <c r="F22" s="30">
        <v>404.8</v>
      </c>
      <c r="G22" s="31">
        <v>1.8761920000000001E-2</v>
      </c>
      <c r="H22" s="24" t="s">
        <v>146</v>
      </c>
    </row>
    <row r="23" spans="1:8" x14ac:dyDescent="0.2">
      <c r="A23" s="27">
        <v>17</v>
      </c>
      <c r="B23" s="28" t="s">
        <v>17</v>
      </c>
      <c r="C23" s="28" t="s">
        <v>18</v>
      </c>
      <c r="D23" s="28" t="s">
        <v>19</v>
      </c>
      <c r="E23" s="29">
        <v>22800</v>
      </c>
      <c r="F23" s="30">
        <v>370.79640000000001</v>
      </c>
      <c r="G23" s="31">
        <v>1.71859E-2</v>
      </c>
      <c r="H23" s="24" t="s">
        <v>146</v>
      </c>
    </row>
    <row r="24" spans="1:8" x14ac:dyDescent="0.2">
      <c r="A24" s="27">
        <v>18</v>
      </c>
      <c r="B24" s="28" t="s">
        <v>644</v>
      </c>
      <c r="C24" s="28" t="s">
        <v>645</v>
      </c>
      <c r="D24" s="28" t="s">
        <v>120</v>
      </c>
      <c r="E24" s="29">
        <v>4500</v>
      </c>
      <c r="F24" s="30">
        <v>354.8295</v>
      </c>
      <c r="G24" s="31">
        <v>1.644586E-2</v>
      </c>
      <c r="H24" s="24" t="s">
        <v>146</v>
      </c>
    </row>
    <row r="25" spans="1:8" x14ac:dyDescent="0.2">
      <c r="A25" s="27">
        <v>19</v>
      </c>
      <c r="B25" s="28" t="s">
        <v>341</v>
      </c>
      <c r="C25" s="28" t="s">
        <v>342</v>
      </c>
      <c r="D25" s="28" t="s">
        <v>33</v>
      </c>
      <c r="E25" s="29">
        <v>157950</v>
      </c>
      <c r="F25" s="30">
        <v>337.04950500000001</v>
      </c>
      <c r="G25" s="31">
        <v>1.562178E-2</v>
      </c>
      <c r="H25" s="24" t="s">
        <v>146</v>
      </c>
    </row>
    <row r="26" spans="1:8" x14ac:dyDescent="0.2">
      <c r="A26" s="27">
        <v>20</v>
      </c>
      <c r="B26" s="28" t="s">
        <v>69</v>
      </c>
      <c r="C26" s="28" t="s">
        <v>70</v>
      </c>
      <c r="D26" s="28" t="s">
        <v>22</v>
      </c>
      <c r="E26" s="29">
        <v>74250</v>
      </c>
      <c r="F26" s="30">
        <v>270.64125000000001</v>
      </c>
      <c r="G26" s="31">
        <v>1.254385E-2</v>
      </c>
      <c r="H26" s="24" t="s">
        <v>146</v>
      </c>
    </row>
    <row r="27" spans="1:8" x14ac:dyDescent="0.2">
      <c r="A27" s="27">
        <v>21</v>
      </c>
      <c r="B27" s="28" t="s">
        <v>333</v>
      </c>
      <c r="C27" s="28" t="s">
        <v>334</v>
      </c>
      <c r="D27" s="28" t="s">
        <v>33</v>
      </c>
      <c r="E27" s="29">
        <v>14000</v>
      </c>
      <c r="F27" s="30">
        <v>266.18200000000002</v>
      </c>
      <c r="G27" s="31">
        <v>1.233717E-2</v>
      </c>
      <c r="H27" s="24" t="s">
        <v>146</v>
      </c>
    </row>
    <row r="28" spans="1:8" ht="25.5" x14ac:dyDescent="0.2">
      <c r="A28" s="27">
        <v>22</v>
      </c>
      <c r="B28" s="28" t="s">
        <v>437</v>
      </c>
      <c r="C28" s="28" t="s">
        <v>438</v>
      </c>
      <c r="D28" s="28" t="s">
        <v>198</v>
      </c>
      <c r="E28" s="29">
        <v>13000</v>
      </c>
      <c r="F28" s="30">
        <v>192.322</v>
      </c>
      <c r="G28" s="31">
        <v>8.9138599999999991E-3</v>
      </c>
      <c r="H28" s="24" t="s">
        <v>146</v>
      </c>
    </row>
    <row r="29" spans="1:8" x14ac:dyDescent="0.2">
      <c r="A29" s="27">
        <v>23</v>
      </c>
      <c r="B29" s="28" t="s">
        <v>425</v>
      </c>
      <c r="C29" s="28" t="s">
        <v>426</v>
      </c>
      <c r="D29" s="28" t="s">
        <v>139</v>
      </c>
      <c r="E29" s="29">
        <v>137500</v>
      </c>
      <c r="F29" s="30">
        <v>185.10249999999999</v>
      </c>
      <c r="G29" s="31">
        <v>8.5792400000000001E-3</v>
      </c>
      <c r="H29" s="24" t="s">
        <v>146</v>
      </c>
    </row>
    <row r="30" spans="1:8" x14ac:dyDescent="0.2">
      <c r="A30" s="27">
        <v>24</v>
      </c>
      <c r="B30" s="28" t="s">
        <v>646</v>
      </c>
      <c r="C30" s="28" t="s">
        <v>647</v>
      </c>
      <c r="D30" s="28" t="s">
        <v>120</v>
      </c>
      <c r="E30" s="29">
        <v>102600</v>
      </c>
      <c r="F30" s="30">
        <v>184.05413999999999</v>
      </c>
      <c r="G30" s="31">
        <v>8.5306500000000007E-3</v>
      </c>
      <c r="H30" s="24" t="s">
        <v>146</v>
      </c>
    </row>
    <row r="31" spans="1:8" x14ac:dyDescent="0.2">
      <c r="A31" s="27">
        <v>25</v>
      </c>
      <c r="B31" s="28" t="s">
        <v>433</v>
      </c>
      <c r="C31" s="28" t="s">
        <v>434</v>
      </c>
      <c r="D31" s="28" t="s">
        <v>280</v>
      </c>
      <c r="E31" s="29">
        <v>12375</v>
      </c>
      <c r="F31" s="30">
        <v>183.59549999999999</v>
      </c>
      <c r="G31" s="31">
        <v>8.5094000000000003E-3</v>
      </c>
      <c r="H31" s="24" t="s">
        <v>146</v>
      </c>
    </row>
    <row r="32" spans="1:8" x14ac:dyDescent="0.2">
      <c r="A32" s="27">
        <v>26</v>
      </c>
      <c r="B32" s="28" t="s">
        <v>648</v>
      </c>
      <c r="C32" s="28" t="s">
        <v>649</v>
      </c>
      <c r="D32" s="28" t="s">
        <v>33</v>
      </c>
      <c r="E32" s="29">
        <v>168750</v>
      </c>
      <c r="F32" s="30">
        <v>157.393125</v>
      </c>
      <c r="G32" s="31">
        <v>7.2949499999999997E-3</v>
      </c>
      <c r="H32" s="24" t="s">
        <v>146</v>
      </c>
    </row>
    <row r="33" spans="1:8" ht="25.5" x14ac:dyDescent="0.2">
      <c r="A33" s="27">
        <v>27</v>
      </c>
      <c r="B33" s="28" t="s">
        <v>367</v>
      </c>
      <c r="C33" s="28" t="s">
        <v>368</v>
      </c>
      <c r="D33" s="28" t="s">
        <v>198</v>
      </c>
      <c r="E33" s="29">
        <v>13200</v>
      </c>
      <c r="F33" s="30">
        <v>154.6908</v>
      </c>
      <c r="G33" s="31">
        <v>7.1697000000000002E-3</v>
      </c>
      <c r="H33" s="24" t="s">
        <v>146</v>
      </c>
    </row>
    <row r="34" spans="1:8" x14ac:dyDescent="0.2">
      <c r="A34" s="27">
        <v>28</v>
      </c>
      <c r="B34" s="28" t="s">
        <v>650</v>
      </c>
      <c r="C34" s="28" t="s">
        <v>651</v>
      </c>
      <c r="D34" s="28" t="s">
        <v>205</v>
      </c>
      <c r="E34" s="29">
        <v>46800</v>
      </c>
      <c r="F34" s="30">
        <v>128.1618</v>
      </c>
      <c r="G34" s="31">
        <v>5.9401200000000001E-3</v>
      </c>
      <c r="H34" s="24" t="s">
        <v>146</v>
      </c>
    </row>
    <row r="35" spans="1:8" x14ac:dyDescent="0.2">
      <c r="A35" s="27">
        <v>29</v>
      </c>
      <c r="B35" s="28" t="s">
        <v>28</v>
      </c>
      <c r="C35" s="28" t="s">
        <v>29</v>
      </c>
      <c r="D35" s="28" t="s">
        <v>30</v>
      </c>
      <c r="E35" s="29">
        <v>42750</v>
      </c>
      <c r="F35" s="30">
        <v>125.10787500000001</v>
      </c>
      <c r="G35" s="31">
        <v>5.7985800000000002E-3</v>
      </c>
      <c r="H35" s="24" t="s">
        <v>146</v>
      </c>
    </row>
    <row r="36" spans="1:8" x14ac:dyDescent="0.2">
      <c r="A36" s="27">
        <v>30</v>
      </c>
      <c r="B36" s="28" t="s">
        <v>532</v>
      </c>
      <c r="C36" s="28" t="s">
        <v>533</v>
      </c>
      <c r="D36" s="28" t="s">
        <v>275</v>
      </c>
      <c r="E36" s="29">
        <v>3850</v>
      </c>
      <c r="F36" s="30">
        <v>115.109225</v>
      </c>
      <c r="G36" s="31">
        <v>5.3351500000000003E-3</v>
      </c>
      <c r="H36" s="24" t="s">
        <v>146</v>
      </c>
    </row>
    <row r="37" spans="1:8" x14ac:dyDescent="0.2">
      <c r="A37" s="27">
        <v>31</v>
      </c>
      <c r="B37" s="28" t="s">
        <v>48</v>
      </c>
      <c r="C37" s="28" t="s">
        <v>49</v>
      </c>
      <c r="D37" s="28" t="s">
        <v>33</v>
      </c>
      <c r="E37" s="29">
        <v>12000</v>
      </c>
      <c r="F37" s="30">
        <v>92.748000000000005</v>
      </c>
      <c r="G37" s="31">
        <v>4.2987399999999997E-3</v>
      </c>
      <c r="H37" s="24" t="s">
        <v>146</v>
      </c>
    </row>
    <row r="38" spans="1:8" x14ac:dyDescent="0.2">
      <c r="A38" s="27">
        <v>32</v>
      </c>
      <c r="B38" s="28" t="s">
        <v>363</v>
      </c>
      <c r="C38" s="28" t="s">
        <v>364</v>
      </c>
      <c r="D38" s="28" t="s">
        <v>39</v>
      </c>
      <c r="E38" s="29">
        <v>2100</v>
      </c>
      <c r="F38" s="30">
        <v>73.295249999999996</v>
      </c>
      <c r="G38" s="31">
        <v>3.3971299999999999E-3</v>
      </c>
      <c r="H38" s="24" t="s">
        <v>146</v>
      </c>
    </row>
    <row r="39" spans="1:8" x14ac:dyDescent="0.2">
      <c r="A39" s="27">
        <v>33</v>
      </c>
      <c r="B39" s="28" t="s">
        <v>371</v>
      </c>
      <c r="C39" s="28" t="s">
        <v>372</v>
      </c>
      <c r="D39" s="28" t="s">
        <v>373</v>
      </c>
      <c r="E39" s="29">
        <v>15750</v>
      </c>
      <c r="F39" s="30">
        <v>62.35425</v>
      </c>
      <c r="G39" s="31">
        <v>2.89003E-3</v>
      </c>
      <c r="H39" s="24" t="s">
        <v>146</v>
      </c>
    </row>
    <row r="40" spans="1:8" x14ac:dyDescent="0.2">
      <c r="A40" s="27">
        <v>34</v>
      </c>
      <c r="B40" s="28" t="s">
        <v>652</v>
      </c>
      <c r="C40" s="28" t="s">
        <v>653</v>
      </c>
      <c r="D40" s="28" t="s">
        <v>120</v>
      </c>
      <c r="E40" s="29">
        <v>3500</v>
      </c>
      <c r="F40" s="30">
        <v>60.763500000000001</v>
      </c>
      <c r="G40" s="31">
        <v>2.8162999999999999E-3</v>
      </c>
      <c r="H40" s="24" t="s">
        <v>146</v>
      </c>
    </row>
    <row r="41" spans="1:8" x14ac:dyDescent="0.2">
      <c r="A41" s="27">
        <v>35</v>
      </c>
      <c r="B41" s="28" t="s">
        <v>20</v>
      </c>
      <c r="C41" s="28" t="s">
        <v>21</v>
      </c>
      <c r="D41" s="28" t="s">
        <v>22</v>
      </c>
      <c r="E41" s="29">
        <v>13500</v>
      </c>
      <c r="F41" s="30">
        <v>43.74</v>
      </c>
      <c r="G41" s="31">
        <v>2.0272900000000002E-3</v>
      </c>
      <c r="H41" s="24" t="s">
        <v>146</v>
      </c>
    </row>
    <row r="42" spans="1:8" x14ac:dyDescent="0.2">
      <c r="A42" s="27">
        <v>36</v>
      </c>
      <c r="B42" s="28" t="s">
        <v>654</v>
      </c>
      <c r="C42" s="28" t="s">
        <v>655</v>
      </c>
      <c r="D42" s="28" t="s">
        <v>16</v>
      </c>
      <c r="E42" s="29">
        <v>29250</v>
      </c>
      <c r="F42" s="30">
        <v>37.583325000000002</v>
      </c>
      <c r="G42" s="31">
        <v>1.74194E-3</v>
      </c>
      <c r="H42" s="24" t="s">
        <v>146</v>
      </c>
    </row>
    <row r="43" spans="1:8" ht="25.5" x14ac:dyDescent="0.2">
      <c r="A43" s="27">
        <v>37</v>
      </c>
      <c r="B43" s="28" t="s">
        <v>656</v>
      </c>
      <c r="C43" s="28" t="s">
        <v>657</v>
      </c>
      <c r="D43" s="28" t="s">
        <v>258</v>
      </c>
      <c r="E43" s="29">
        <v>3000</v>
      </c>
      <c r="F43" s="30">
        <v>13.340999999999999</v>
      </c>
      <c r="G43" s="31">
        <v>6.1833999999999999E-4</v>
      </c>
      <c r="H43" s="24" t="s">
        <v>146</v>
      </c>
    </row>
    <row r="44" spans="1:8" x14ac:dyDescent="0.2">
      <c r="A44" s="25"/>
      <c r="B44" s="25"/>
      <c r="C44" s="26" t="s">
        <v>145</v>
      </c>
      <c r="D44" s="25"/>
      <c r="E44" s="25" t="s">
        <v>146</v>
      </c>
      <c r="F44" s="32">
        <v>15653.60132</v>
      </c>
      <c r="G44" s="33">
        <v>0.72552274000000005</v>
      </c>
      <c r="H44" s="24" t="s">
        <v>146</v>
      </c>
    </row>
    <row r="45" spans="1:8" x14ac:dyDescent="0.2">
      <c r="A45" s="25"/>
      <c r="B45" s="25"/>
      <c r="C45" s="34"/>
      <c r="D45" s="25"/>
      <c r="E45" s="25"/>
      <c r="F45" s="35"/>
      <c r="G45" s="35"/>
      <c r="H45" s="24" t="s">
        <v>146</v>
      </c>
    </row>
    <row r="46" spans="1:8" x14ac:dyDescent="0.2">
      <c r="A46" s="25"/>
      <c r="B46" s="25"/>
      <c r="C46" s="26" t="s">
        <v>147</v>
      </c>
      <c r="D46" s="25"/>
      <c r="E46" s="25"/>
      <c r="F46" s="25"/>
      <c r="G46" s="25"/>
      <c r="H46" s="24" t="s">
        <v>146</v>
      </c>
    </row>
    <row r="47" spans="1:8" x14ac:dyDescent="0.2">
      <c r="A47" s="25"/>
      <c r="B47" s="25"/>
      <c r="C47" s="26" t="s">
        <v>145</v>
      </c>
      <c r="D47" s="25"/>
      <c r="E47" s="25" t="s">
        <v>146</v>
      </c>
      <c r="F47" s="36" t="s">
        <v>148</v>
      </c>
      <c r="G47" s="33">
        <v>0</v>
      </c>
      <c r="H47" s="24" t="s">
        <v>146</v>
      </c>
    </row>
    <row r="48" spans="1:8" x14ac:dyDescent="0.2">
      <c r="A48" s="25"/>
      <c r="B48" s="25"/>
      <c r="C48" s="34"/>
      <c r="D48" s="25"/>
      <c r="E48" s="25"/>
      <c r="F48" s="35"/>
      <c r="G48" s="35"/>
      <c r="H48" s="24" t="s">
        <v>146</v>
      </c>
    </row>
    <row r="49" spans="1:8" x14ac:dyDescent="0.2">
      <c r="A49" s="25"/>
      <c r="B49" s="25"/>
      <c r="C49" s="26" t="s">
        <v>149</v>
      </c>
      <c r="D49" s="25"/>
      <c r="E49" s="25"/>
      <c r="F49" s="25"/>
      <c r="G49" s="25"/>
      <c r="H49" s="24" t="s">
        <v>146</v>
      </c>
    </row>
    <row r="50" spans="1:8" x14ac:dyDescent="0.2">
      <c r="A50" s="25"/>
      <c r="B50" s="25"/>
      <c r="C50" s="26" t="s">
        <v>145</v>
      </c>
      <c r="D50" s="25"/>
      <c r="E50" s="25" t="s">
        <v>146</v>
      </c>
      <c r="F50" s="36" t="s">
        <v>148</v>
      </c>
      <c r="G50" s="33">
        <v>0</v>
      </c>
      <c r="H50" s="24" t="s">
        <v>146</v>
      </c>
    </row>
    <row r="51" spans="1:8" x14ac:dyDescent="0.2">
      <c r="A51" s="25"/>
      <c r="B51" s="25"/>
      <c r="C51" s="34"/>
      <c r="D51" s="25"/>
      <c r="E51" s="25"/>
      <c r="F51" s="35"/>
      <c r="G51" s="35"/>
      <c r="H51" s="24" t="s">
        <v>146</v>
      </c>
    </row>
    <row r="52" spans="1:8" x14ac:dyDescent="0.2">
      <c r="A52" s="25"/>
      <c r="B52" s="25"/>
      <c r="C52" s="26" t="s">
        <v>150</v>
      </c>
      <c r="D52" s="25"/>
      <c r="E52" s="25"/>
      <c r="F52" s="25"/>
      <c r="G52" s="25"/>
      <c r="H52" s="24" t="s">
        <v>146</v>
      </c>
    </row>
    <row r="53" spans="1:8" x14ac:dyDescent="0.2">
      <c r="A53" s="25"/>
      <c r="B53" s="25"/>
      <c r="C53" s="26" t="s">
        <v>145</v>
      </c>
      <c r="D53" s="25"/>
      <c r="E53" s="25" t="s">
        <v>146</v>
      </c>
      <c r="F53" s="36" t="s">
        <v>148</v>
      </c>
      <c r="G53" s="33">
        <v>0</v>
      </c>
      <c r="H53" s="24" t="s">
        <v>146</v>
      </c>
    </row>
    <row r="54" spans="1:8" x14ac:dyDescent="0.2">
      <c r="A54" s="25"/>
      <c r="B54" s="25"/>
      <c r="C54" s="34"/>
      <c r="D54" s="25"/>
      <c r="E54" s="25"/>
      <c r="F54" s="35"/>
      <c r="G54" s="35"/>
      <c r="H54" s="24" t="s">
        <v>146</v>
      </c>
    </row>
    <row r="55" spans="1:8" x14ac:dyDescent="0.2">
      <c r="A55" s="25"/>
      <c r="B55" s="25"/>
      <c r="C55" s="26" t="s">
        <v>151</v>
      </c>
      <c r="D55" s="25"/>
      <c r="E55" s="25"/>
      <c r="F55" s="35"/>
      <c r="G55" s="35"/>
      <c r="H55" s="24" t="s">
        <v>146</v>
      </c>
    </row>
    <row r="56" spans="1:8" x14ac:dyDescent="0.2">
      <c r="A56" s="25"/>
      <c r="B56" s="25"/>
      <c r="C56" s="26" t="s">
        <v>145</v>
      </c>
      <c r="D56" s="25"/>
      <c r="E56" s="25" t="s">
        <v>146</v>
      </c>
      <c r="F56" s="36" t="s">
        <v>148</v>
      </c>
      <c r="G56" s="33">
        <v>0</v>
      </c>
      <c r="H56" s="24" t="s">
        <v>146</v>
      </c>
    </row>
    <row r="57" spans="1:8" x14ac:dyDescent="0.2">
      <c r="A57" s="25"/>
      <c r="B57" s="25"/>
      <c r="C57" s="34"/>
      <c r="D57" s="25"/>
      <c r="E57" s="25"/>
      <c r="F57" s="35"/>
      <c r="G57" s="35"/>
      <c r="H57" s="24" t="s">
        <v>146</v>
      </c>
    </row>
    <row r="58" spans="1:8" x14ac:dyDescent="0.2">
      <c r="A58" s="25"/>
      <c r="B58" s="25"/>
      <c r="C58" s="26" t="s">
        <v>152</v>
      </c>
      <c r="D58" s="25"/>
      <c r="E58" s="25"/>
      <c r="F58" s="35"/>
      <c r="G58" s="35"/>
      <c r="H58" s="24" t="s">
        <v>146</v>
      </c>
    </row>
    <row r="59" spans="1:8" x14ac:dyDescent="0.2">
      <c r="A59" s="27">
        <v>1</v>
      </c>
      <c r="B59" s="28"/>
      <c r="C59" s="28" t="s">
        <v>925</v>
      </c>
      <c r="D59" s="28" t="s">
        <v>519</v>
      </c>
      <c r="E59" s="29">
        <v>-3000</v>
      </c>
      <c r="F59" s="30">
        <v>-13.423500000000001</v>
      </c>
      <c r="G59" s="31">
        <f>F59/$F$151</f>
        <v>-6.2216060879561447E-4</v>
      </c>
      <c r="H59" s="24" t="s">
        <v>146</v>
      </c>
    </row>
    <row r="60" spans="1:8" x14ac:dyDescent="0.2">
      <c r="A60" s="27">
        <v>2</v>
      </c>
      <c r="B60" s="28"/>
      <c r="C60" s="28" t="s">
        <v>926</v>
      </c>
      <c r="D60" s="28" t="s">
        <v>519</v>
      </c>
      <c r="E60" s="29">
        <v>-29250</v>
      </c>
      <c r="F60" s="30">
        <v>-37.805624999999999</v>
      </c>
      <c r="G60" s="31">
        <f t="shared" ref="G60:G95" si="0">F60/$F$151</f>
        <v>-1.7522382885163108E-3</v>
      </c>
      <c r="H60" s="24" t="s">
        <v>146</v>
      </c>
    </row>
    <row r="61" spans="1:8" x14ac:dyDescent="0.2">
      <c r="A61" s="27">
        <v>3</v>
      </c>
      <c r="B61" s="28"/>
      <c r="C61" s="28" t="s">
        <v>927</v>
      </c>
      <c r="D61" s="28" t="s">
        <v>519</v>
      </c>
      <c r="E61" s="29">
        <v>-13500</v>
      </c>
      <c r="F61" s="30">
        <v>-43.935749999999999</v>
      </c>
      <c r="G61" s="31">
        <f t="shared" si="0"/>
        <v>-2.0363610807830981E-3</v>
      </c>
      <c r="H61" s="24" t="s">
        <v>146</v>
      </c>
    </row>
    <row r="62" spans="1:8" x14ac:dyDescent="0.2">
      <c r="A62" s="27">
        <v>4</v>
      </c>
      <c r="B62" s="28"/>
      <c r="C62" s="28" t="s">
        <v>928</v>
      </c>
      <c r="D62" s="28" t="s">
        <v>519</v>
      </c>
      <c r="E62" s="29">
        <v>-3500</v>
      </c>
      <c r="F62" s="30">
        <v>-61.129249999999999</v>
      </c>
      <c r="G62" s="31">
        <f t="shared" si="0"/>
        <v>-2.8332559612038078E-3</v>
      </c>
      <c r="H62" s="24" t="s">
        <v>146</v>
      </c>
    </row>
    <row r="63" spans="1:8" x14ac:dyDescent="0.2">
      <c r="A63" s="27">
        <v>5</v>
      </c>
      <c r="B63" s="28"/>
      <c r="C63" s="28" t="s">
        <v>929</v>
      </c>
      <c r="D63" s="28" t="s">
        <v>519</v>
      </c>
      <c r="E63" s="29">
        <v>-15750</v>
      </c>
      <c r="F63" s="30">
        <v>-62.535375000000002</v>
      </c>
      <c r="G63" s="31">
        <f t="shared" si="0"/>
        <v>-2.8984279048878494E-3</v>
      </c>
      <c r="H63" s="24" t="s">
        <v>146</v>
      </c>
    </row>
    <row r="64" spans="1:8" x14ac:dyDescent="0.2">
      <c r="A64" s="27">
        <v>6</v>
      </c>
      <c r="B64" s="28"/>
      <c r="C64" s="28" t="s">
        <v>930</v>
      </c>
      <c r="D64" s="28" t="s">
        <v>519</v>
      </c>
      <c r="E64" s="29">
        <v>-2100</v>
      </c>
      <c r="F64" s="30">
        <v>-73.668000000000006</v>
      </c>
      <c r="G64" s="31">
        <f t="shared" si="0"/>
        <v>-3.4144096345033207E-3</v>
      </c>
      <c r="H64" s="24" t="s">
        <v>146</v>
      </c>
    </row>
    <row r="65" spans="1:8" x14ac:dyDescent="0.2">
      <c r="A65" s="27">
        <v>7</v>
      </c>
      <c r="B65" s="28"/>
      <c r="C65" s="28" t="s">
        <v>931</v>
      </c>
      <c r="D65" s="28" t="s">
        <v>519</v>
      </c>
      <c r="E65" s="29">
        <v>-12000</v>
      </c>
      <c r="F65" s="30">
        <v>-93.096000000000004</v>
      </c>
      <c r="G65" s="31">
        <f t="shared" si="0"/>
        <v>-4.3148704910371009E-3</v>
      </c>
      <c r="H65" s="24" t="s">
        <v>146</v>
      </c>
    </row>
    <row r="66" spans="1:8" x14ac:dyDescent="0.2">
      <c r="A66" s="27">
        <v>8</v>
      </c>
      <c r="B66" s="28"/>
      <c r="C66" s="28" t="s">
        <v>932</v>
      </c>
      <c r="D66" s="28" t="s">
        <v>519</v>
      </c>
      <c r="E66" s="29">
        <v>-3850</v>
      </c>
      <c r="F66" s="30">
        <v>-115.78297499999999</v>
      </c>
      <c r="G66" s="31">
        <f t="shared" si="0"/>
        <v>-5.3663803191542738E-3</v>
      </c>
      <c r="H66" s="24" t="s">
        <v>146</v>
      </c>
    </row>
    <row r="67" spans="1:8" x14ac:dyDescent="0.2">
      <c r="A67" s="27">
        <v>9</v>
      </c>
      <c r="B67" s="28"/>
      <c r="C67" s="28" t="s">
        <v>933</v>
      </c>
      <c r="D67" s="28" t="s">
        <v>519</v>
      </c>
      <c r="E67" s="29">
        <v>-42750</v>
      </c>
      <c r="F67" s="30">
        <v>-125.38575</v>
      </c>
      <c r="G67" s="31">
        <f t="shared" si="0"/>
        <v>-5.8114556229220925E-3</v>
      </c>
      <c r="H67" s="24" t="s">
        <v>146</v>
      </c>
    </row>
    <row r="68" spans="1:8" ht="25.5" x14ac:dyDescent="0.2">
      <c r="A68" s="27">
        <v>10</v>
      </c>
      <c r="B68" s="28"/>
      <c r="C68" s="28" t="s">
        <v>934</v>
      </c>
      <c r="D68" s="28" t="s">
        <v>519</v>
      </c>
      <c r="E68" s="29">
        <v>-46800</v>
      </c>
      <c r="F68" s="30">
        <v>-128.7936</v>
      </c>
      <c r="G68" s="31">
        <f t="shared" si="0"/>
        <v>-5.9694047442901514E-3</v>
      </c>
      <c r="H68" s="24" t="s">
        <v>146</v>
      </c>
    </row>
    <row r="69" spans="1:8" x14ac:dyDescent="0.2">
      <c r="A69" s="27">
        <v>11</v>
      </c>
      <c r="B69" s="28"/>
      <c r="C69" s="28" t="s">
        <v>935</v>
      </c>
      <c r="D69" s="28" t="s">
        <v>519</v>
      </c>
      <c r="E69" s="29">
        <v>-13200</v>
      </c>
      <c r="F69" s="30">
        <v>-155.4564</v>
      </c>
      <c r="G69" s="31">
        <f t="shared" si="0"/>
        <v>-7.2051885473367267E-3</v>
      </c>
      <c r="H69" s="24" t="s">
        <v>146</v>
      </c>
    </row>
    <row r="70" spans="1:8" x14ac:dyDescent="0.2">
      <c r="A70" s="27">
        <v>12</v>
      </c>
      <c r="B70" s="28"/>
      <c r="C70" s="28" t="s">
        <v>936</v>
      </c>
      <c r="D70" s="28" t="s">
        <v>519</v>
      </c>
      <c r="E70" s="29">
        <v>-168750</v>
      </c>
      <c r="F70" s="30">
        <v>-157.91624999999999</v>
      </c>
      <c r="G70" s="31">
        <f t="shared" si="0"/>
        <v>-7.3191991834261139E-3</v>
      </c>
      <c r="H70" s="24" t="s">
        <v>146</v>
      </c>
    </row>
    <row r="71" spans="1:8" ht="25.5" x14ac:dyDescent="0.2">
      <c r="A71" s="27">
        <v>13</v>
      </c>
      <c r="B71" s="28"/>
      <c r="C71" s="28" t="s">
        <v>937</v>
      </c>
      <c r="D71" s="28" t="s">
        <v>519</v>
      </c>
      <c r="E71" s="29">
        <v>-12375</v>
      </c>
      <c r="F71" s="30">
        <v>-184.201875</v>
      </c>
      <c r="G71" s="31">
        <f t="shared" si="0"/>
        <v>-8.5375014483028769E-3</v>
      </c>
      <c r="H71" s="24" t="s">
        <v>146</v>
      </c>
    </row>
    <row r="72" spans="1:8" x14ac:dyDescent="0.2">
      <c r="A72" s="27">
        <v>14</v>
      </c>
      <c r="B72" s="28"/>
      <c r="C72" s="28" t="s">
        <v>938</v>
      </c>
      <c r="D72" s="28" t="s">
        <v>519</v>
      </c>
      <c r="E72" s="29">
        <v>-102600</v>
      </c>
      <c r="F72" s="30">
        <v>-184.71078</v>
      </c>
      <c r="G72" s="31">
        <f t="shared" si="0"/>
        <v>-8.5610884892846715E-3</v>
      </c>
      <c r="H72" s="24" t="s">
        <v>146</v>
      </c>
    </row>
    <row r="73" spans="1:8" x14ac:dyDescent="0.2">
      <c r="A73" s="27">
        <v>15</v>
      </c>
      <c r="B73" s="28"/>
      <c r="C73" s="28" t="s">
        <v>939</v>
      </c>
      <c r="D73" s="28" t="s">
        <v>519</v>
      </c>
      <c r="E73" s="29">
        <v>-137500</v>
      </c>
      <c r="F73" s="30">
        <v>-185.88624999999999</v>
      </c>
      <c r="G73" s="31">
        <f t="shared" si="0"/>
        <v>-8.6155698935995659E-3</v>
      </c>
      <c r="H73" s="24" t="s">
        <v>146</v>
      </c>
    </row>
    <row r="74" spans="1:8" x14ac:dyDescent="0.2">
      <c r="A74" s="27">
        <v>16</v>
      </c>
      <c r="B74" s="28"/>
      <c r="C74" s="28" t="s">
        <v>940</v>
      </c>
      <c r="D74" s="28" t="s">
        <v>519</v>
      </c>
      <c r="E74" s="29">
        <v>-13000</v>
      </c>
      <c r="F74" s="30">
        <v>-193.23849999999999</v>
      </c>
      <c r="G74" s="31">
        <f t="shared" si="0"/>
        <v>-8.9563364847283743E-3</v>
      </c>
      <c r="H74" s="24" t="s">
        <v>146</v>
      </c>
    </row>
    <row r="75" spans="1:8" x14ac:dyDescent="0.2">
      <c r="A75" s="27">
        <v>17</v>
      </c>
      <c r="B75" s="28"/>
      <c r="C75" s="28" t="s">
        <v>941</v>
      </c>
      <c r="D75" s="28" t="s">
        <v>519</v>
      </c>
      <c r="E75" s="29">
        <v>-14000</v>
      </c>
      <c r="F75" s="30">
        <v>-267.56099999999998</v>
      </c>
      <c r="G75" s="31">
        <f t="shared" si="0"/>
        <v>-1.2401081286546978E-2</v>
      </c>
      <c r="H75" s="24" t="s">
        <v>146</v>
      </c>
    </row>
    <row r="76" spans="1:8" x14ac:dyDescent="0.2">
      <c r="A76" s="27">
        <v>18</v>
      </c>
      <c r="B76" s="28"/>
      <c r="C76" s="28" t="s">
        <v>942</v>
      </c>
      <c r="D76" s="28" t="s">
        <v>519</v>
      </c>
      <c r="E76" s="29">
        <v>-74250</v>
      </c>
      <c r="F76" s="30">
        <v>-272.01487500000002</v>
      </c>
      <c r="G76" s="31">
        <f t="shared" si="0"/>
        <v>-1.2607512215999029E-2</v>
      </c>
      <c r="H76" s="24" t="s">
        <v>146</v>
      </c>
    </row>
    <row r="77" spans="1:8" x14ac:dyDescent="0.2">
      <c r="A77" s="27">
        <v>19</v>
      </c>
      <c r="B77" s="28"/>
      <c r="C77" s="28" t="s">
        <v>943</v>
      </c>
      <c r="D77" s="28" t="s">
        <v>519</v>
      </c>
      <c r="E77" s="29">
        <v>-157950</v>
      </c>
      <c r="F77" s="30">
        <v>-338.12356499999999</v>
      </c>
      <c r="G77" s="31">
        <f t="shared" si="0"/>
        <v>-1.5671558315531978E-2</v>
      </c>
      <c r="H77" s="24" t="s">
        <v>146</v>
      </c>
    </row>
    <row r="78" spans="1:8" x14ac:dyDescent="0.2">
      <c r="A78" s="27">
        <v>20</v>
      </c>
      <c r="B78" s="28"/>
      <c r="C78" s="28" t="s">
        <v>944</v>
      </c>
      <c r="D78" s="28" t="s">
        <v>519</v>
      </c>
      <c r="E78" s="29">
        <v>-4500</v>
      </c>
      <c r="F78" s="30">
        <v>-356.89049999999997</v>
      </c>
      <c r="G78" s="31">
        <f t="shared" si="0"/>
        <v>-1.6541379726105056E-2</v>
      </c>
      <c r="H78" s="24" t="s">
        <v>146</v>
      </c>
    </row>
    <row r="79" spans="1:8" x14ac:dyDescent="0.2">
      <c r="A79" s="27">
        <v>21</v>
      </c>
      <c r="B79" s="28"/>
      <c r="C79" s="28" t="s">
        <v>945</v>
      </c>
      <c r="D79" s="28" t="s">
        <v>519</v>
      </c>
      <c r="E79" s="29">
        <v>-22800</v>
      </c>
      <c r="F79" s="30">
        <v>-372.47219999999999</v>
      </c>
      <c r="G79" s="31">
        <f t="shared" si="0"/>
        <v>-1.7263569911829393E-2</v>
      </c>
      <c r="H79" s="24" t="s">
        <v>146</v>
      </c>
    </row>
    <row r="80" spans="1:8" x14ac:dyDescent="0.2">
      <c r="A80" s="27">
        <v>22</v>
      </c>
      <c r="B80" s="28"/>
      <c r="C80" s="28" t="s">
        <v>946</v>
      </c>
      <c r="D80" s="28" t="s">
        <v>519</v>
      </c>
      <c r="E80" s="29">
        <v>-400000</v>
      </c>
      <c r="F80" s="30">
        <v>-407.32</v>
      </c>
      <c r="G80" s="31">
        <f t="shared" si="0"/>
        <v>-1.8878717113616394E-2</v>
      </c>
      <c r="H80" s="24" t="s">
        <v>146</v>
      </c>
    </row>
    <row r="81" spans="1:8" ht="25.5" x14ac:dyDescent="0.2">
      <c r="A81" s="27">
        <v>23</v>
      </c>
      <c r="B81" s="28"/>
      <c r="C81" s="28" t="s">
        <v>947</v>
      </c>
      <c r="D81" s="28" t="s">
        <v>519</v>
      </c>
      <c r="E81" s="29">
        <v>-58000</v>
      </c>
      <c r="F81" s="30">
        <v>-446.10700000000003</v>
      </c>
      <c r="G81" s="31">
        <f t="shared" si="0"/>
        <v>-2.0676440772375699E-2</v>
      </c>
      <c r="H81" s="24" t="s">
        <v>146</v>
      </c>
    </row>
    <row r="82" spans="1:8" x14ac:dyDescent="0.2">
      <c r="A82" s="27">
        <v>24</v>
      </c>
      <c r="B82" s="28"/>
      <c r="C82" s="28" t="s">
        <v>948</v>
      </c>
      <c r="D82" s="28" t="s">
        <v>519</v>
      </c>
      <c r="E82" s="29">
        <v>-81200</v>
      </c>
      <c r="F82" s="30">
        <v>-485.12939999999998</v>
      </c>
      <c r="G82" s="31">
        <f t="shared" si="0"/>
        <v>-2.2485074894673603E-2</v>
      </c>
      <c r="H82" s="24" t="s">
        <v>146</v>
      </c>
    </row>
    <row r="83" spans="1:8" x14ac:dyDescent="0.2">
      <c r="A83" s="27">
        <v>25</v>
      </c>
      <c r="B83" s="28"/>
      <c r="C83" s="28" t="s">
        <v>949</v>
      </c>
      <c r="D83" s="28" t="s">
        <v>519</v>
      </c>
      <c r="E83" s="29">
        <v>-50500</v>
      </c>
      <c r="F83" s="30">
        <v>-503.99</v>
      </c>
      <c r="G83" s="31">
        <f t="shared" si="0"/>
        <v>-2.3359237548098613E-2</v>
      </c>
      <c r="H83" s="24" t="s">
        <v>146</v>
      </c>
    </row>
    <row r="84" spans="1:8" ht="25.5" x14ac:dyDescent="0.2">
      <c r="A84" s="27">
        <v>26</v>
      </c>
      <c r="B84" s="28"/>
      <c r="C84" s="28" t="s">
        <v>950</v>
      </c>
      <c r="D84" s="28" t="s">
        <v>519</v>
      </c>
      <c r="E84" s="29">
        <v>-32900</v>
      </c>
      <c r="F84" s="30">
        <v>-574.02274999999997</v>
      </c>
      <c r="G84" s="31">
        <f t="shared" si="0"/>
        <v>-2.6605158386600571E-2</v>
      </c>
      <c r="H84" s="24" t="s">
        <v>146</v>
      </c>
    </row>
    <row r="85" spans="1:8" x14ac:dyDescent="0.2">
      <c r="A85" s="27">
        <v>27</v>
      </c>
      <c r="B85" s="28"/>
      <c r="C85" s="28" t="s">
        <v>951</v>
      </c>
      <c r="D85" s="28" t="s">
        <v>519</v>
      </c>
      <c r="E85" s="29">
        <v>-27600</v>
      </c>
      <c r="F85" s="30">
        <v>-635.42100000000005</v>
      </c>
      <c r="G85" s="31">
        <f t="shared" si="0"/>
        <v>-2.9450882124745271E-2</v>
      </c>
      <c r="H85" s="24" t="s">
        <v>146</v>
      </c>
    </row>
    <row r="86" spans="1:8" x14ac:dyDescent="0.2">
      <c r="A86" s="27">
        <v>28</v>
      </c>
      <c r="B86" s="28"/>
      <c r="C86" s="28" t="s">
        <v>952</v>
      </c>
      <c r="D86" s="28" t="s">
        <v>519</v>
      </c>
      <c r="E86" s="29">
        <v>-85800</v>
      </c>
      <c r="F86" s="30">
        <v>-643.15679999999998</v>
      </c>
      <c r="G86" s="31">
        <f t="shared" si="0"/>
        <v>-2.9809425726452805E-2</v>
      </c>
      <c r="H86" s="24" t="s">
        <v>146</v>
      </c>
    </row>
    <row r="87" spans="1:8" x14ac:dyDescent="0.2">
      <c r="A87" s="27">
        <v>29</v>
      </c>
      <c r="B87" s="28"/>
      <c r="C87" s="28" t="s">
        <v>953</v>
      </c>
      <c r="D87" s="28" t="s">
        <v>519</v>
      </c>
      <c r="E87" s="29">
        <v>-18750</v>
      </c>
      <c r="F87" s="30">
        <v>-671.109375</v>
      </c>
      <c r="G87" s="31">
        <f t="shared" si="0"/>
        <v>-3.1104988812041889E-2</v>
      </c>
      <c r="H87" s="24" t="s">
        <v>146</v>
      </c>
    </row>
    <row r="88" spans="1:8" x14ac:dyDescent="0.2">
      <c r="A88" s="27">
        <v>30</v>
      </c>
      <c r="B88" s="28"/>
      <c r="C88" s="28" t="s">
        <v>954</v>
      </c>
      <c r="D88" s="28" t="s">
        <v>519</v>
      </c>
      <c r="E88" s="29">
        <v>-70625</v>
      </c>
      <c r="F88" s="30">
        <v>-699.50531249999995</v>
      </c>
      <c r="G88" s="31">
        <f t="shared" si="0"/>
        <v>-3.242110113463452E-2</v>
      </c>
      <c r="H88" s="24" t="s">
        <v>146</v>
      </c>
    </row>
    <row r="89" spans="1:8" ht="25.5" x14ac:dyDescent="0.2">
      <c r="A89" s="27">
        <v>31</v>
      </c>
      <c r="B89" s="28"/>
      <c r="C89" s="28" t="s">
        <v>955</v>
      </c>
      <c r="D89" s="28" t="s">
        <v>519</v>
      </c>
      <c r="E89" s="29">
        <v>-16975</v>
      </c>
      <c r="F89" s="30">
        <v>-701.67859999999996</v>
      </c>
      <c r="G89" s="31">
        <f t="shared" si="0"/>
        <v>-3.2521829996264344E-2</v>
      </c>
      <c r="H89" s="24" t="s">
        <v>146</v>
      </c>
    </row>
    <row r="90" spans="1:8" x14ac:dyDescent="0.2">
      <c r="A90" s="27">
        <v>32</v>
      </c>
      <c r="B90" s="28"/>
      <c r="C90" s="28" t="s">
        <v>956</v>
      </c>
      <c r="D90" s="28" t="s">
        <v>519</v>
      </c>
      <c r="E90" s="29">
        <v>-144000</v>
      </c>
      <c r="F90" s="30">
        <v>-742.89599999999996</v>
      </c>
      <c r="G90" s="31">
        <f t="shared" si="0"/>
        <v>-3.4432199324455376E-2</v>
      </c>
      <c r="H90" s="24" t="s">
        <v>146</v>
      </c>
    </row>
    <row r="91" spans="1:8" x14ac:dyDescent="0.2">
      <c r="A91" s="27">
        <v>33</v>
      </c>
      <c r="B91" s="28"/>
      <c r="C91" s="28" t="s">
        <v>957</v>
      </c>
      <c r="D91" s="28" t="s">
        <v>519</v>
      </c>
      <c r="E91" s="29">
        <v>-125400</v>
      </c>
      <c r="F91" s="30">
        <v>-902.00220000000002</v>
      </c>
      <c r="G91" s="31">
        <f t="shared" si="0"/>
        <v>-4.1806551040114992E-2</v>
      </c>
      <c r="H91" s="24" t="s">
        <v>146</v>
      </c>
    </row>
    <row r="92" spans="1:8" x14ac:dyDescent="0.2">
      <c r="A92" s="27">
        <v>34</v>
      </c>
      <c r="B92" s="28"/>
      <c r="C92" s="28" t="s">
        <v>958</v>
      </c>
      <c r="D92" s="28" t="s">
        <v>519</v>
      </c>
      <c r="E92" s="29">
        <v>-76300</v>
      </c>
      <c r="F92" s="30">
        <v>-959.43434999999999</v>
      </c>
      <c r="G92" s="31">
        <f t="shared" si="0"/>
        <v>-4.4468451543593294E-2</v>
      </c>
      <c r="H92" s="24" t="s">
        <v>146</v>
      </c>
    </row>
    <row r="93" spans="1:8" x14ac:dyDescent="0.2">
      <c r="A93" s="27">
        <v>35</v>
      </c>
      <c r="B93" s="28"/>
      <c r="C93" s="28" t="s">
        <v>959</v>
      </c>
      <c r="D93" s="28" t="s">
        <v>519</v>
      </c>
      <c r="E93" s="29">
        <v>-285600</v>
      </c>
      <c r="F93" s="30">
        <v>-995.88720000000001</v>
      </c>
      <c r="G93" s="31">
        <f t="shared" si="0"/>
        <v>-4.6157990586937821E-2</v>
      </c>
      <c r="H93" s="24" t="s">
        <v>146</v>
      </c>
    </row>
    <row r="94" spans="1:8" x14ac:dyDescent="0.2">
      <c r="A94" s="27">
        <v>36</v>
      </c>
      <c r="B94" s="28"/>
      <c r="C94" s="28" t="s">
        <v>960</v>
      </c>
      <c r="D94" s="28" t="s">
        <v>519</v>
      </c>
      <c r="E94" s="29">
        <v>-228800</v>
      </c>
      <c r="F94" s="30">
        <v>-1016.1008</v>
      </c>
      <c r="G94" s="31">
        <f t="shared" si="0"/>
        <v>-4.7094862913972572E-2</v>
      </c>
      <c r="H94" s="24" t="s">
        <v>146</v>
      </c>
    </row>
    <row r="95" spans="1:8" x14ac:dyDescent="0.2">
      <c r="A95" s="27">
        <v>37</v>
      </c>
      <c r="B95" s="28"/>
      <c r="C95" s="28" t="s">
        <v>961</v>
      </c>
      <c r="D95" s="28" t="s">
        <v>519</v>
      </c>
      <c r="E95" s="29">
        <v>-150000</v>
      </c>
      <c r="F95" s="30">
        <v>-1905.075</v>
      </c>
      <c r="G95" s="31">
        <f t="shared" si="0"/>
        <v>-8.8297584221797981E-2</v>
      </c>
      <c r="H95" s="24" t="s">
        <v>146</v>
      </c>
    </row>
    <row r="96" spans="1:8" x14ac:dyDescent="0.2">
      <c r="A96" s="25"/>
      <c r="B96" s="25"/>
      <c r="C96" s="26" t="s">
        <v>145</v>
      </c>
      <c r="D96" s="25"/>
      <c r="E96" s="25" t="s">
        <v>146</v>
      </c>
      <c r="F96" s="32">
        <v>-15712.8638075</v>
      </c>
      <c r="G96" s="33">
        <v>-0.72826946999999997</v>
      </c>
      <c r="H96" s="24" t="s">
        <v>146</v>
      </c>
    </row>
    <row r="97" spans="1:8" x14ac:dyDescent="0.2">
      <c r="A97" s="25"/>
      <c r="B97" s="25"/>
      <c r="C97" s="34"/>
      <c r="D97" s="25"/>
      <c r="E97" s="25"/>
      <c r="F97" s="35"/>
      <c r="G97" s="35"/>
      <c r="H97" s="24" t="s">
        <v>146</v>
      </c>
    </row>
    <row r="98" spans="1:8" x14ac:dyDescent="0.2">
      <c r="A98" s="25"/>
      <c r="B98" s="25"/>
      <c r="C98" s="26" t="s">
        <v>153</v>
      </c>
      <c r="D98" s="25"/>
      <c r="E98" s="25"/>
      <c r="F98" s="32">
        <f>F44</f>
        <v>15653.60132</v>
      </c>
      <c r="G98" s="33">
        <f>G44</f>
        <v>0.72552274000000005</v>
      </c>
      <c r="H98" s="24" t="s">
        <v>146</v>
      </c>
    </row>
    <row r="99" spans="1:8" x14ac:dyDescent="0.2">
      <c r="A99" s="25"/>
      <c r="B99" s="25"/>
      <c r="C99" s="34"/>
      <c r="D99" s="25"/>
      <c r="E99" s="25"/>
      <c r="F99" s="35"/>
      <c r="G99" s="35"/>
      <c r="H99" s="24" t="s">
        <v>146</v>
      </c>
    </row>
    <row r="100" spans="1:8" x14ac:dyDescent="0.2">
      <c r="A100" s="25"/>
      <c r="B100" s="25"/>
      <c r="C100" s="26" t="s">
        <v>154</v>
      </c>
      <c r="D100" s="25"/>
      <c r="E100" s="25"/>
      <c r="F100" s="35"/>
      <c r="G100" s="35"/>
      <c r="H100" s="24" t="s">
        <v>146</v>
      </c>
    </row>
    <row r="101" spans="1:8" x14ac:dyDescent="0.2">
      <c r="A101" s="25"/>
      <c r="B101" s="25"/>
      <c r="C101" s="26" t="s">
        <v>10</v>
      </c>
      <c r="D101" s="25"/>
      <c r="E101" s="25"/>
      <c r="F101" s="35"/>
      <c r="G101" s="35"/>
      <c r="H101" s="24" t="s">
        <v>146</v>
      </c>
    </row>
    <row r="102" spans="1:8" x14ac:dyDescent="0.2">
      <c r="A102" s="25"/>
      <c r="B102" s="25"/>
      <c r="C102" s="26" t="s">
        <v>145</v>
      </c>
      <c r="D102" s="25"/>
      <c r="E102" s="25" t="s">
        <v>146</v>
      </c>
      <c r="F102" s="36" t="s">
        <v>148</v>
      </c>
      <c r="G102" s="33">
        <v>0</v>
      </c>
      <c r="H102" s="24" t="s">
        <v>146</v>
      </c>
    </row>
    <row r="103" spans="1:8" x14ac:dyDescent="0.2">
      <c r="A103" s="25"/>
      <c r="B103" s="25"/>
      <c r="C103" s="34"/>
      <c r="D103" s="25"/>
      <c r="E103" s="25"/>
      <c r="F103" s="35"/>
      <c r="G103" s="35"/>
      <c r="H103" s="24" t="s">
        <v>146</v>
      </c>
    </row>
    <row r="104" spans="1:8" x14ac:dyDescent="0.2">
      <c r="A104" s="25"/>
      <c r="B104" s="25"/>
      <c r="C104" s="26" t="s">
        <v>155</v>
      </c>
      <c r="D104" s="25"/>
      <c r="E104" s="25"/>
      <c r="F104" s="25"/>
      <c r="G104" s="25"/>
      <c r="H104" s="24" t="s">
        <v>146</v>
      </c>
    </row>
    <row r="105" spans="1:8" x14ac:dyDescent="0.2">
      <c r="A105" s="25"/>
      <c r="B105" s="25"/>
      <c r="C105" s="26" t="s">
        <v>145</v>
      </c>
      <c r="D105" s="25"/>
      <c r="E105" s="25" t="s">
        <v>146</v>
      </c>
      <c r="F105" s="36" t="s">
        <v>148</v>
      </c>
      <c r="G105" s="33">
        <v>0</v>
      </c>
      <c r="H105" s="24" t="s">
        <v>146</v>
      </c>
    </row>
    <row r="106" spans="1:8" x14ac:dyDescent="0.2">
      <c r="A106" s="25"/>
      <c r="B106" s="25"/>
      <c r="C106" s="34"/>
      <c r="D106" s="25"/>
      <c r="E106" s="25"/>
      <c r="F106" s="35"/>
      <c r="G106" s="35"/>
      <c r="H106" s="24" t="s">
        <v>146</v>
      </c>
    </row>
    <row r="107" spans="1:8" x14ac:dyDescent="0.2">
      <c r="A107" s="25"/>
      <c r="B107" s="25"/>
      <c r="C107" s="26" t="s">
        <v>156</v>
      </c>
      <c r="D107" s="25"/>
      <c r="E107" s="25"/>
      <c r="F107" s="25"/>
      <c r="G107" s="25"/>
      <c r="H107" s="24" t="s">
        <v>146</v>
      </c>
    </row>
    <row r="108" spans="1:8" ht="25.5" x14ac:dyDescent="0.2">
      <c r="A108" s="27">
        <v>1</v>
      </c>
      <c r="B108" s="28" t="s">
        <v>658</v>
      </c>
      <c r="C108" s="28" t="s">
        <v>1081</v>
      </c>
      <c r="D108" s="28" t="s">
        <v>521</v>
      </c>
      <c r="E108" s="29">
        <v>1000000</v>
      </c>
      <c r="F108" s="30">
        <v>1016.801</v>
      </c>
      <c r="G108" s="31">
        <v>4.712732E-2</v>
      </c>
      <c r="H108" s="24">
        <v>6.7115999999999998</v>
      </c>
    </row>
    <row r="109" spans="1:8" x14ac:dyDescent="0.2">
      <c r="A109" s="25"/>
      <c r="B109" s="25"/>
      <c r="C109" s="26" t="s">
        <v>145</v>
      </c>
      <c r="D109" s="25"/>
      <c r="E109" s="25" t="s">
        <v>146</v>
      </c>
      <c r="F109" s="32">
        <v>1016.801</v>
      </c>
      <c r="G109" s="33">
        <v>4.712732E-2</v>
      </c>
      <c r="H109" s="24" t="s">
        <v>146</v>
      </c>
    </row>
    <row r="110" spans="1:8" x14ac:dyDescent="0.2">
      <c r="A110" s="25"/>
      <c r="B110" s="25"/>
      <c r="C110" s="34"/>
      <c r="D110" s="25"/>
      <c r="E110" s="25"/>
      <c r="F110" s="35"/>
      <c r="G110" s="35"/>
      <c r="H110" s="24" t="s">
        <v>146</v>
      </c>
    </row>
    <row r="111" spans="1:8" x14ac:dyDescent="0.2">
      <c r="A111" s="25"/>
      <c r="B111" s="25"/>
      <c r="C111" s="26" t="s">
        <v>157</v>
      </c>
      <c r="D111" s="25"/>
      <c r="E111" s="25"/>
      <c r="F111" s="35"/>
      <c r="G111" s="35"/>
      <c r="H111" s="24" t="s">
        <v>146</v>
      </c>
    </row>
    <row r="112" spans="1:8" x14ac:dyDescent="0.2">
      <c r="A112" s="25"/>
      <c r="B112" s="25"/>
      <c r="C112" s="26" t="s">
        <v>145</v>
      </c>
      <c r="D112" s="25"/>
      <c r="E112" s="25" t="s">
        <v>146</v>
      </c>
      <c r="F112" s="36" t="s">
        <v>148</v>
      </c>
      <c r="G112" s="33">
        <v>0</v>
      </c>
      <c r="H112" s="24" t="s">
        <v>146</v>
      </c>
    </row>
    <row r="113" spans="1:8" x14ac:dyDescent="0.2">
      <c r="A113" s="25"/>
      <c r="B113" s="25"/>
      <c r="C113" s="34"/>
      <c r="D113" s="25"/>
      <c r="E113" s="25"/>
      <c r="F113" s="35"/>
      <c r="G113" s="35"/>
      <c r="H113" s="24" t="s">
        <v>146</v>
      </c>
    </row>
    <row r="114" spans="1:8" x14ac:dyDescent="0.2">
      <c r="A114" s="25"/>
      <c r="B114" s="25"/>
      <c r="C114" s="26" t="s">
        <v>158</v>
      </c>
      <c r="D114" s="25"/>
      <c r="E114" s="25"/>
      <c r="F114" s="32">
        <v>1016.801</v>
      </c>
      <c r="G114" s="33">
        <v>4.712732E-2</v>
      </c>
      <c r="H114" s="24" t="s">
        <v>146</v>
      </c>
    </row>
    <row r="115" spans="1:8" x14ac:dyDescent="0.2">
      <c r="A115" s="25"/>
      <c r="B115" s="25"/>
      <c r="C115" s="34"/>
      <c r="D115" s="25"/>
      <c r="E115" s="25"/>
      <c r="F115" s="35"/>
      <c r="G115" s="35"/>
      <c r="H115" s="24" t="s">
        <v>146</v>
      </c>
    </row>
    <row r="116" spans="1:8" x14ac:dyDescent="0.2">
      <c r="A116" s="25"/>
      <c r="B116" s="25"/>
      <c r="C116" s="26" t="s">
        <v>159</v>
      </c>
      <c r="D116" s="25"/>
      <c r="E116" s="25"/>
      <c r="F116" s="35"/>
      <c r="G116" s="35"/>
      <c r="H116" s="24" t="s">
        <v>146</v>
      </c>
    </row>
    <row r="117" spans="1:8" x14ac:dyDescent="0.2">
      <c r="A117" s="25"/>
      <c r="B117" s="25"/>
      <c r="C117" s="26" t="s">
        <v>160</v>
      </c>
      <c r="D117" s="25"/>
      <c r="E117" s="25"/>
      <c r="F117" s="35"/>
      <c r="G117" s="35"/>
      <c r="H117" s="24" t="s">
        <v>146</v>
      </c>
    </row>
    <row r="118" spans="1:8" x14ac:dyDescent="0.2">
      <c r="A118" s="25"/>
      <c r="B118" s="25"/>
      <c r="C118" s="26" t="s">
        <v>145</v>
      </c>
      <c r="D118" s="25"/>
      <c r="E118" s="25" t="s">
        <v>146</v>
      </c>
      <c r="F118" s="36" t="s">
        <v>148</v>
      </c>
      <c r="G118" s="33">
        <v>0</v>
      </c>
      <c r="H118" s="24" t="s">
        <v>146</v>
      </c>
    </row>
    <row r="119" spans="1:8" x14ac:dyDescent="0.2">
      <c r="A119" s="25"/>
      <c r="B119" s="25"/>
      <c r="C119" s="34"/>
      <c r="D119" s="25"/>
      <c r="E119" s="25"/>
      <c r="F119" s="35"/>
      <c r="G119" s="35"/>
      <c r="H119" s="24" t="s">
        <v>146</v>
      </c>
    </row>
    <row r="120" spans="1:8" x14ac:dyDescent="0.2">
      <c r="A120" s="25"/>
      <c r="B120" s="25"/>
      <c r="C120" s="26" t="s">
        <v>161</v>
      </c>
      <c r="D120" s="25"/>
      <c r="E120" s="25"/>
      <c r="F120" s="35"/>
      <c r="G120" s="35"/>
      <c r="H120" s="24" t="s">
        <v>146</v>
      </c>
    </row>
    <row r="121" spans="1:8" x14ac:dyDescent="0.2">
      <c r="A121" s="25"/>
      <c r="B121" s="25"/>
      <c r="C121" s="26" t="s">
        <v>145</v>
      </c>
      <c r="D121" s="25"/>
      <c r="E121" s="25" t="s">
        <v>146</v>
      </c>
      <c r="F121" s="36" t="s">
        <v>148</v>
      </c>
      <c r="G121" s="33">
        <v>0</v>
      </c>
      <c r="H121" s="24" t="s">
        <v>146</v>
      </c>
    </row>
    <row r="122" spans="1:8" x14ac:dyDescent="0.2">
      <c r="A122" s="25"/>
      <c r="B122" s="25"/>
      <c r="C122" s="34"/>
      <c r="D122" s="25"/>
      <c r="E122" s="25"/>
      <c r="F122" s="35"/>
      <c r="G122" s="35"/>
      <c r="H122" s="24" t="s">
        <v>146</v>
      </c>
    </row>
    <row r="123" spans="1:8" x14ac:dyDescent="0.2">
      <c r="A123" s="25"/>
      <c r="B123" s="25"/>
      <c r="C123" s="26" t="s">
        <v>162</v>
      </c>
      <c r="D123" s="25"/>
      <c r="E123" s="25"/>
      <c r="F123" s="35"/>
      <c r="G123" s="35"/>
      <c r="H123" s="24" t="s">
        <v>146</v>
      </c>
    </row>
    <row r="124" spans="1:8" x14ac:dyDescent="0.2">
      <c r="A124" s="27">
        <v>1</v>
      </c>
      <c r="B124" s="28" t="s">
        <v>660</v>
      </c>
      <c r="C124" s="28" t="s">
        <v>1082</v>
      </c>
      <c r="D124" s="28" t="s">
        <v>521</v>
      </c>
      <c r="E124" s="29">
        <v>500000</v>
      </c>
      <c r="F124" s="30">
        <v>498.94650000000001</v>
      </c>
      <c r="G124" s="31">
        <v>2.312548E-2</v>
      </c>
      <c r="H124" s="24">
        <v>6.4234</v>
      </c>
    </row>
    <row r="125" spans="1:8" x14ac:dyDescent="0.2">
      <c r="A125" s="27">
        <v>2</v>
      </c>
      <c r="B125" s="28" t="s">
        <v>661</v>
      </c>
      <c r="C125" s="28" t="s">
        <v>1083</v>
      </c>
      <c r="D125" s="28" t="s">
        <v>521</v>
      </c>
      <c r="E125" s="29">
        <v>500000</v>
      </c>
      <c r="F125" s="30">
        <v>493.30549999999999</v>
      </c>
      <c r="G125" s="31">
        <v>2.286403E-2</v>
      </c>
      <c r="H125" s="24">
        <v>6.5175000000000001</v>
      </c>
    </row>
    <row r="126" spans="1:8" x14ac:dyDescent="0.2">
      <c r="A126" s="27">
        <v>3</v>
      </c>
      <c r="B126" s="28" t="s">
        <v>662</v>
      </c>
      <c r="C126" s="28" t="s">
        <v>1084</v>
      </c>
      <c r="D126" s="28" t="s">
        <v>521</v>
      </c>
      <c r="E126" s="29">
        <v>500000</v>
      </c>
      <c r="F126" s="30">
        <v>492.78899999999999</v>
      </c>
      <c r="G126" s="31">
        <v>2.284009E-2</v>
      </c>
      <c r="H126" s="24">
        <v>6.5137999999999998</v>
      </c>
    </row>
    <row r="127" spans="1:8" x14ac:dyDescent="0.2">
      <c r="A127" s="27">
        <v>4</v>
      </c>
      <c r="B127" s="28" t="s">
        <v>520</v>
      </c>
      <c r="C127" s="28" t="s">
        <v>1077</v>
      </c>
      <c r="D127" s="28" t="s">
        <v>521</v>
      </c>
      <c r="E127" s="29">
        <v>500000</v>
      </c>
      <c r="F127" s="30">
        <v>492.09500000000003</v>
      </c>
      <c r="G127" s="31">
        <v>2.2807919999999999E-2</v>
      </c>
      <c r="H127" s="24">
        <v>6.5149999999999997</v>
      </c>
    </row>
    <row r="128" spans="1:8" x14ac:dyDescent="0.2">
      <c r="A128" s="27">
        <v>5</v>
      </c>
      <c r="B128" s="28" t="s">
        <v>663</v>
      </c>
      <c r="C128" s="28" t="s">
        <v>1085</v>
      </c>
      <c r="D128" s="28" t="s">
        <v>521</v>
      </c>
      <c r="E128" s="29">
        <v>500000</v>
      </c>
      <c r="F128" s="30">
        <v>480.71749999999997</v>
      </c>
      <c r="G128" s="31">
        <v>2.2280589999999999E-2</v>
      </c>
      <c r="H128" s="24">
        <v>6.5949999999999998</v>
      </c>
    </row>
    <row r="129" spans="1:8" x14ac:dyDescent="0.2">
      <c r="A129" s="25"/>
      <c r="B129" s="25"/>
      <c r="C129" s="26" t="s">
        <v>145</v>
      </c>
      <c r="D129" s="25"/>
      <c r="E129" s="25" t="s">
        <v>146</v>
      </c>
      <c r="F129" s="32">
        <v>2457.8535000000002</v>
      </c>
      <c r="G129" s="33">
        <v>0.11391811</v>
      </c>
      <c r="H129" s="24" t="s">
        <v>146</v>
      </c>
    </row>
    <row r="130" spans="1:8" x14ac:dyDescent="0.2">
      <c r="A130" s="25"/>
      <c r="B130" s="25"/>
      <c r="C130" s="34"/>
      <c r="D130" s="25"/>
      <c r="E130" s="25"/>
      <c r="F130" s="35"/>
      <c r="G130" s="35"/>
      <c r="H130" s="24" t="s">
        <v>146</v>
      </c>
    </row>
    <row r="131" spans="1:8" x14ac:dyDescent="0.2">
      <c r="A131" s="25"/>
      <c r="B131" s="25"/>
      <c r="C131" s="26" t="s">
        <v>163</v>
      </c>
      <c r="D131" s="25"/>
      <c r="E131" s="25"/>
      <c r="F131" s="35"/>
      <c r="G131" s="35"/>
      <c r="H131" s="24" t="s">
        <v>146</v>
      </c>
    </row>
    <row r="132" spans="1:8" x14ac:dyDescent="0.2">
      <c r="A132" s="27">
        <v>1</v>
      </c>
      <c r="B132" s="28"/>
      <c r="C132" s="28" t="s">
        <v>164</v>
      </c>
      <c r="D132" s="28"/>
      <c r="E132" s="38"/>
      <c r="F132" s="30">
        <v>1645.0925454969999</v>
      </c>
      <c r="G132" s="31">
        <v>7.6247759999999998E-2</v>
      </c>
      <c r="H132" s="24">
        <v>6.57</v>
      </c>
    </row>
    <row r="133" spans="1:8" x14ac:dyDescent="0.2">
      <c r="A133" s="25"/>
      <c r="B133" s="25"/>
      <c r="C133" s="26" t="s">
        <v>145</v>
      </c>
      <c r="D133" s="25"/>
      <c r="E133" s="25" t="s">
        <v>146</v>
      </c>
      <c r="F133" s="32">
        <v>1645.0925454969999</v>
      </c>
      <c r="G133" s="33">
        <v>7.6247759999999998E-2</v>
      </c>
      <c r="H133" s="24" t="s">
        <v>146</v>
      </c>
    </row>
    <row r="134" spans="1:8" x14ac:dyDescent="0.2">
      <c r="A134" s="25"/>
      <c r="B134" s="25"/>
      <c r="C134" s="34"/>
      <c r="D134" s="25"/>
      <c r="E134" s="25"/>
      <c r="F134" s="35"/>
      <c r="G134" s="35"/>
      <c r="H134" s="24" t="s">
        <v>146</v>
      </c>
    </row>
    <row r="135" spans="1:8" x14ac:dyDescent="0.2">
      <c r="A135" s="25"/>
      <c r="B135" s="25"/>
      <c r="C135" s="26" t="s">
        <v>165</v>
      </c>
      <c r="D135" s="25"/>
      <c r="E135" s="25"/>
      <c r="F135" s="32">
        <v>4102.9460454970003</v>
      </c>
      <c r="G135" s="33">
        <v>0.19016586999999999</v>
      </c>
      <c r="H135" s="24" t="s">
        <v>146</v>
      </c>
    </row>
    <row r="136" spans="1:8" x14ac:dyDescent="0.2">
      <c r="A136" s="25"/>
      <c r="B136" s="25"/>
      <c r="C136" s="35"/>
      <c r="D136" s="25"/>
      <c r="E136" s="25"/>
      <c r="F136" s="25"/>
      <c r="G136" s="25"/>
      <c r="H136" s="24" t="s">
        <v>146</v>
      </c>
    </row>
    <row r="137" spans="1:8" x14ac:dyDescent="0.2">
      <c r="A137" s="25"/>
      <c r="B137" s="25"/>
      <c r="C137" s="26" t="s">
        <v>166</v>
      </c>
      <c r="D137" s="25"/>
      <c r="E137" s="25"/>
      <c r="F137" s="25"/>
      <c r="G137" s="25"/>
      <c r="H137" s="24" t="s">
        <v>146</v>
      </c>
    </row>
    <row r="138" spans="1:8" x14ac:dyDescent="0.2">
      <c r="A138" s="25"/>
      <c r="B138" s="25"/>
      <c r="C138" s="26" t="s">
        <v>167</v>
      </c>
      <c r="D138" s="25"/>
      <c r="E138" s="25"/>
      <c r="F138" s="25"/>
      <c r="G138" s="25"/>
      <c r="H138" s="24" t="s">
        <v>146</v>
      </c>
    </row>
    <row r="139" spans="1:8" ht="25.5" x14ac:dyDescent="0.2">
      <c r="A139" s="27">
        <v>1</v>
      </c>
      <c r="B139" s="28" t="s">
        <v>633</v>
      </c>
      <c r="C139" s="28" t="s">
        <v>1080</v>
      </c>
      <c r="D139" s="28"/>
      <c r="E139" s="70">
        <v>6936582.6076999996</v>
      </c>
      <c r="F139" s="30">
        <v>1012.01271955</v>
      </c>
      <c r="G139" s="31">
        <v>4.6905389999999998E-2</v>
      </c>
      <c r="H139" s="24" t="s">
        <v>146</v>
      </c>
    </row>
    <row r="140" spans="1:8" x14ac:dyDescent="0.2">
      <c r="A140" s="25"/>
      <c r="B140" s="25"/>
      <c r="C140" s="26" t="s">
        <v>145</v>
      </c>
      <c r="D140" s="25"/>
      <c r="E140" s="25" t="s">
        <v>146</v>
      </c>
      <c r="F140" s="32">
        <v>1012.01271955</v>
      </c>
      <c r="G140" s="33">
        <v>4.6905389999999998E-2</v>
      </c>
      <c r="H140" s="24" t="s">
        <v>146</v>
      </c>
    </row>
    <row r="141" spans="1:8" x14ac:dyDescent="0.2">
      <c r="A141" s="25"/>
      <c r="B141" s="25"/>
      <c r="C141" s="34"/>
      <c r="D141" s="25"/>
      <c r="E141" s="25"/>
      <c r="F141" s="35"/>
      <c r="G141" s="35"/>
      <c r="H141" s="24" t="s">
        <v>146</v>
      </c>
    </row>
    <row r="142" spans="1:8" x14ac:dyDescent="0.2">
      <c r="A142" s="25"/>
      <c r="B142" s="25"/>
      <c r="C142" s="26" t="s">
        <v>168</v>
      </c>
      <c r="D142" s="25"/>
      <c r="E142" s="25"/>
      <c r="F142" s="25"/>
      <c r="G142" s="25"/>
      <c r="H142" s="24" t="s">
        <v>146</v>
      </c>
    </row>
    <row r="143" spans="1:8" x14ac:dyDescent="0.2">
      <c r="A143" s="25"/>
      <c r="B143" s="25"/>
      <c r="C143" s="26" t="s">
        <v>169</v>
      </c>
      <c r="D143" s="25"/>
      <c r="E143" s="25"/>
      <c r="F143" s="25"/>
      <c r="G143" s="25"/>
      <c r="H143" s="24" t="s">
        <v>146</v>
      </c>
    </row>
    <row r="144" spans="1:8" x14ac:dyDescent="0.2">
      <c r="A144" s="25"/>
      <c r="B144" s="25"/>
      <c r="C144" s="26" t="s">
        <v>145</v>
      </c>
      <c r="D144" s="25"/>
      <c r="E144" s="25" t="s">
        <v>146</v>
      </c>
      <c r="F144" s="36" t="s">
        <v>148</v>
      </c>
      <c r="G144" s="33">
        <v>0</v>
      </c>
      <c r="H144" s="24" t="s">
        <v>146</v>
      </c>
    </row>
    <row r="145" spans="1:17" x14ac:dyDescent="0.2">
      <c r="A145" s="25"/>
      <c r="B145" s="25"/>
      <c r="C145" s="34"/>
      <c r="D145" s="25"/>
      <c r="E145" s="25"/>
      <c r="F145" s="35"/>
      <c r="G145" s="35"/>
      <c r="H145" s="24" t="s">
        <v>146</v>
      </c>
    </row>
    <row r="146" spans="1:17" x14ac:dyDescent="0.2">
      <c r="A146" s="25"/>
      <c r="B146" s="25"/>
      <c r="C146" s="26" t="s">
        <v>170</v>
      </c>
      <c r="D146" s="25"/>
      <c r="E146" s="25"/>
      <c r="F146" s="35"/>
      <c r="G146" s="35"/>
      <c r="H146" s="24" t="s">
        <v>146</v>
      </c>
    </row>
    <row r="147" spans="1:17" x14ac:dyDescent="0.2">
      <c r="A147" s="25"/>
      <c r="B147" s="25"/>
      <c r="C147" s="26" t="s">
        <v>145</v>
      </c>
      <c r="D147" s="25"/>
      <c r="E147" s="25" t="s">
        <v>146</v>
      </c>
      <c r="F147" s="36" t="s">
        <v>148</v>
      </c>
      <c r="G147" s="33">
        <v>0</v>
      </c>
      <c r="H147" s="24" t="s">
        <v>146</v>
      </c>
    </row>
    <row r="148" spans="1:17" x14ac:dyDescent="0.2">
      <c r="A148" s="25"/>
      <c r="B148" s="25"/>
      <c r="C148" s="34"/>
      <c r="D148" s="25"/>
      <c r="E148" s="25"/>
      <c r="F148" s="35"/>
      <c r="G148" s="35"/>
      <c r="H148" s="24" t="s">
        <v>146</v>
      </c>
    </row>
    <row r="149" spans="1:17" x14ac:dyDescent="0.2">
      <c r="A149" s="38"/>
      <c r="B149" s="28"/>
      <c r="C149" s="28" t="s">
        <v>522</v>
      </c>
      <c r="D149" s="28"/>
      <c r="E149" s="38"/>
      <c r="F149" s="30">
        <v>71.125495400000005</v>
      </c>
      <c r="G149" s="31">
        <v>3.29657E-3</v>
      </c>
      <c r="H149" s="24" t="s">
        <v>146</v>
      </c>
    </row>
    <row r="150" spans="1:17" x14ac:dyDescent="0.2">
      <c r="A150" s="38"/>
      <c r="B150" s="28"/>
      <c r="C150" s="37" t="s">
        <v>884</v>
      </c>
      <c r="D150" s="28"/>
      <c r="E150" s="38"/>
      <c r="F150" s="30">
        <f>15431.99582172+F96</f>
        <v>-280.8679857799998</v>
      </c>
      <c r="G150" s="31">
        <f>F150/F151</f>
        <v>-1.3017841622831799E-2</v>
      </c>
      <c r="H150" s="24" t="s">
        <v>146</v>
      </c>
    </row>
    <row r="151" spans="1:17" x14ac:dyDescent="0.2">
      <c r="A151" s="34"/>
      <c r="B151" s="34"/>
      <c r="C151" s="26" t="s">
        <v>172</v>
      </c>
      <c r="D151" s="35"/>
      <c r="E151" s="35"/>
      <c r="F151" s="32">
        <f>F150+F149+F140+F135+F114+F98</f>
        <v>21575.618594667001</v>
      </c>
      <c r="G151" s="39">
        <f>G150+G149+G140+G135+G114+G98</f>
        <v>1.0000000483771683</v>
      </c>
      <c r="H151" s="24" t="s">
        <v>146</v>
      </c>
    </row>
    <row r="152" spans="1:17" x14ac:dyDescent="0.2">
      <c r="A152" s="40"/>
      <c r="B152" s="40"/>
      <c r="C152" s="40"/>
      <c r="D152" s="41"/>
      <c r="E152" s="41"/>
      <c r="F152" s="41"/>
      <c r="G152" s="41"/>
    </row>
    <row r="153" spans="1:17" x14ac:dyDescent="0.2">
      <c r="A153" s="42"/>
      <c r="B153" s="236" t="s">
        <v>858</v>
      </c>
      <c r="C153" s="236"/>
      <c r="D153" s="236"/>
      <c r="E153" s="236"/>
      <c r="F153" s="236"/>
      <c r="G153" s="236"/>
      <c r="H153" s="236"/>
      <c r="J153" s="44"/>
    </row>
    <row r="154" spans="1:17" x14ac:dyDescent="0.2">
      <c r="A154" s="42"/>
      <c r="B154" s="236" t="s">
        <v>859</v>
      </c>
      <c r="C154" s="236"/>
      <c r="D154" s="236"/>
      <c r="E154" s="236"/>
      <c r="F154" s="236"/>
      <c r="G154" s="236"/>
      <c r="H154" s="236"/>
      <c r="J154" s="44"/>
    </row>
    <row r="155" spans="1:17" x14ac:dyDescent="0.2">
      <c r="A155" s="42"/>
      <c r="B155" s="236" t="s">
        <v>860</v>
      </c>
      <c r="C155" s="236"/>
      <c r="D155" s="236"/>
      <c r="E155" s="236"/>
      <c r="F155" s="236"/>
      <c r="G155" s="236"/>
      <c r="H155" s="236"/>
      <c r="J155" s="44"/>
    </row>
    <row r="156" spans="1:17" s="46" customFormat="1" ht="65.25" customHeight="1" x14ac:dyDescent="0.25">
      <c r="A156" s="45"/>
      <c r="B156" s="237" t="s">
        <v>861</v>
      </c>
      <c r="C156" s="237"/>
      <c r="D156" s="237"/>
      <c r="E156" s="237"/>
      <c r="F156" s="237"/>
      <c r="G156" s="237"/>
      <c r="H156" s="237"/>
      <c r="I156"/>
      <c r="J156" s="44"/>
      <c r="K156"/>
      <c r="L156"/>
      <c r="M156"/>
      <c r="N156"/>
      <c r="O156"/>
      <c r="P156"/>
      <c r="Q156"/>
    </row>
    <row r="157" spans="1:17" x14ac:dyDescent="0.2">
      <c r="A157" s="42"/>
      <c r="B157" s="236" t="s">
        <v>862</v>
      </c>
      <c r="C157" s="236"/>
      <c r="D157" s="236"/>
      <c r="E157" s="236"/>
      <c r="F157" s="236"/>
      <c r="G157" s="236"/>
      <c r="H157" s="236"/>
      <c r="J157" s="44"/>
    </row>
    <row r="158" spans="1:17" x14ac:dyDescent="0.2">
      <c r="A158" s="47"/>
      <c r="B158" s="47"/>
      <c r="C158" s="47"/>
      <c r="D158" s="48"/>
      <c r="E158" s="48"/>
      <c r="F158" s="48"/>
      <c r="G158" s="48"/>
    </row>
    <row r="159" spans="1:17" x14ac:dyDescent="0.2">
      <c r="A159" s="47"/>
      <c r="B159" s="233" t="s">
        <v>173</v>
      </c>
      <c r="C159" s="234"/>
      <c r="D159" s="235"/>
      <c r="E159" s="49"/>
      <c r="F159" s="48"/>
      <c r="G159" s="48"/>
    </row>
    <row r="160" spans="1:17" ht="26.25" customHeight="1" x14ac:dyDescent="0.2">
      <c r="A160" s="42"/>
      <c r="B160" s="227" t="s">
        <v>174</v>
      </c>
      <c r="C160" s="228"/>
      <c r="D160" s="112" t="s">
        <v>892</v>
      </c>
      <c r="E160" s="51"/>
      <c r="F160" s="52"/>
      <c r="G160" s="52"/>
    </row>
    <row r="161" spans="1:10" x14ac:dyDescent="0.2">
      <c r="A161" s="47"/>
      <c r="B161" s="231" t="s">
        <v>863</v>
      </c>
      <c r="C161" s="232"/>
      <c r="D161" s="26" t="s">
        <v>175</v>
      </c>
      <c r="E161" s="49"/>
      <c r="F161" s="48"/>
      <c r="G161" s="48"/>
    </row>
    <row r="162" spans="1:10" x14ac:dyDescent="0.2">
      <c r="A162" s="47"/>
      <c r="B162" s="231" t="s">
        <v>176</v>
      </c>
      <c r="C162" s="232"/>
      <c r="D162" s="35" t="s">
        <v>146</v>
      </c>
      <c r="E162" s="49"/>
      <c r="F162" s="48"/>
      <c r="G162" s="48"/>
    </row>
    <row r="163" spans="1:10" x14ac:dyDescent="0.2">
      <c r="A163" s="53"/>
      <c r="B163" s="54" t="s">
        <v>146</v>
      </c>
      <c r="C163" s="54" t="s">
        <v>864</v>
      </c>
      <c r="D163" s="54" t="s">
        <v>177</v>
      </c>
      <c r="E163" s="53"/>
      <c r="F163" s="53"/>
      <c r="G163" s="53"/>
      <c r="H163" s="53"/>
      <c r="J163" s="44"/>
    </row>
    <row r="164" spans="1:10" x14ac:dyDescent="0.2">
      <c r="A164" s="53"/>
      <c r="B164" s="55" t="s">
        <v>178</v>
      </c>
      <c r="C164" s="56">
        <v>45657</v>
      </c>
      <c r="D164" s="56">
        <v>45688</v>
      </c>
      <c r="E164" s="53"/>
      <c r="F164" s="53"/>
      <c r="G164" s="53"/>
      <c r="J164" s="44"/>
    </row>
    <row r="165" spans="1:10" x14ac:dyDescent="0.2">
      <c r="A165" s="57"/>
      <c r="B165" s="28" t="s">
        <v>179</v>
      </c>
      <c r="C165" s="58">
        <v>14.6747</v>
      </c>
      <c r="D165" s="58">
        <v>14.7804</v>
      </c>
      <c r="E165" s="57"/>
      <c r="F165" s="59"/>
      <c r="G165" s="60"/>
    </row>
    <row r="166" spans="1:10" ht="25.5" x14ac:dyDescent="0.2">
      <c r="A166" s="57"/>
      <c r="B166" s="28" t="s">
        <v>893</v>
      </c>
      <c r="C166" s="58">
        <v>12.6896</v>
      </c>
      <c r="D166" s="58">
        <v>12.780900000000001</v>
      </c>
      <c r="E166" s="57"/>
      <c r="F166" s="59"/>
      <c r="G166" s="60"/>
    </row>
    <row r="167" spans="1:10" x14ac:dyDescent="0.2">
      <c r="A167" s="57"/>
      <c r="B167" s="28" t="s">
        <v>180</v>
      </c>
      <c r="C167" s="58">
        <v>13.9779</v>
      </c>
      <c r="D167" s="58">
        <v>14.069800000000001</v>
      </c>
      <c r="E167" s="57"/>
      <c r="F167" s="59"/>
      <c r="G167" s="60"/>
    </row>
    <row r="168" spans="1:10" ht="25.5" x14ac:dyDescent="0.2">
      <c r="A168" s="57"/>
      <c r="B168" s="28" t="s">
        <v>894</v>
      </c>
      <c r="C168" s="58">
        <v>12.289099999999999</v>
      </c>
      <c r="D168" s="58">
        <v>12.3698</v>
      </c>
      <c r="E168" s="57"/>
      <c r="F168" s="59"/>
      <c r="G168" s="60"/>
    </row>
    <row r="169" spans="1:10" x14ac:dyDescent="0.2">
      <c r="A169" s="57"/>
      <c r="B169" s="57"/>
      <c r="C169" s="57"/>
      <c r="D169" s="57"/>
      <c r="E169" s="57"/>
      <c r="F169" s="57"/>
      <c r="G169" s="57"/>
    </row>
    <row r="170" spans="1:10" x14ac:dyDescent="0.2">
      <c r="A170" s="53"/>
      <c r="B170" s="227" t="s">
        <v>865</v>
      </c>
      <c r="C170" s="228"/>
      <c r="D170" s="50" t="s">
        <v>175</v>
      </c>
      <c r="E170" s="53"/>
      <c r="F170" s="53"/>
      <c r="G170" s="53"/>
    </row>
    <row r="171" spans="1:10" x14ac:dyDescent="0.2">
      <c r="A171" s="53"/>
      <c r="B171" s="74"/>
      <c r="C171" s="74"/>
      <c r="D171" s="74"/>
      <c r="E171" s="53"/>
      <c r="F171" s="53"/>
      <c r="G171" s="53"/>
    </row>
    <row r="172" spans="1:10" ht="29.1" customHeight="1" x14ac:dyDescent="0.2">
      <c r="A172" s="53"/>
      <c r="B172" s="227" t="s">
        <v>181</v>
      </c>
      <c r="C172" s="228"/>
      <c r="D172" s="50" t="s">
        <v>895</v>
      </c>
      <c r="E172" s="64"/>
      <c r="F172" s="53"/>
      <c r="G172" s="53"/>
    </row>
    <row r="173" spans="1:10" ht="29.1" customHeight="1" x14ac:dyDescent="0.2">
      <c r="A173" s="53"/>
      <c r="B173" s="227" t="s">
        <v>182</v>
      </c>
      <c r="C173" s="228"/>
      <c r="D173" s="50" t="s">
        <v>175</v>
      </c>
      <c r="E173" s="64"/>
      <c r="F173" s="53"/>
      <c r="G173" s="53"/>
      <c r="I173" s="113"/>
    </row>
    <row r="174" spans="1:10" ht="17.100000000000001" customHeight="1" x14ac:dyDescent="0.2">
      <c r="A174" s="53"/>
      <c r="B174" s="227" t="s">
        <v>183</v>
      </c>
      <c r="C174" s="228"/>
      <c r="D174" s="50" t="s">
        <v>175</v>
      </c>
      <c r="E174" s="64"/>
      <c r="F174" s="53"/>
      <c r="G174" s="53"/>
    </row>
    <row r="175" spans="1:10" ht="17.100000000000001" customHeight="1" x14ac:dyDescent="0.2">
      <c r="A175" s="53"/>
      <c r="B175" s="227" t="s">
        <v>184</v>
      </c>
      <c r="C175" s="228"/>
      <c r="D175" s="65">
        <v>9.7456540457989043</v>
      </c>
      <c r="E175" s="53"/>
      <c r="F175" s="43"/>
      <c r="G175" s="63"/>
    </row>
    <row r="177" spans="2:16" s="89" customFormat="1" x14ac:dyDescent="0.2">
      <c r="B177" s="114" t="s">
        <v>1096</v>
      </c>
      <c r="C177" s="114"/>
      <c r="D177" s="114"/>
      <c r="E177" s="2"/>
      <c r="F177" s="3"/>
      <c r="I177"/>
      <c r="J177"/>
      <c r="K177"/>
      <c r="L177"/>
      <c r="M177"/>
      <c r="N177"/>
    </row>
    <row r="178" spans="2:16" s="89" customFormat="1" ht="63.75" x14ac:dyDescent="0.2">
      <c r="B178" s="92" t="s">
        <v>896</v>
      </c>
      <c r="C178" s="92" t="s">
        <v>897</v>
      </c>
      <c r="D178" s="92" t="s">
        <v>898</v>
      </c>
      <c r="E178" s="92" t="s">
        <v>899</v>
      </c>
      <c r="F178" s="92" t="s">
        <v>900</v>
      </c>
      <c r="I178"/>
      <c r="J178"/>
      <c r="K178"/>
      <c r="L178"/>
      <c r="M178"/>
      <c r="N178"/>
    </row>
    <row r="179" spans="2:16" s="91" customFormat="1" ht="38.25" x14ac:dyDescent="0.2">
      <c r="B179" s="93" t="s">
        <v>901</v>
      </c>
      <c r="C179" s="94" t="s">
        <v>902</v>
      </c>
      <c r="D179" s="95">
        <v>0</v>
      </c>
      <c r="E179" s="1">
        <v>0</v>
      </c>
      <c r="F179" s="96">
        <v>50</v>
      </c>
      <c r="I179"/>
      <c r="J179"/>
      <c r="K179"/>
      <c r="L179"/>
      <c r="M179"/>
      <c r="N179"/>
      <c r="O179" s="89"/>
      <c r="P179" s="89"/>
    </row>
    <row r="180" spans="2:16" s="89" customFormat="1" x14ac:dyDescent="0.2">
      <c r="I180"/>
      <c r="J180"/>
      <c r="K180"/>
      <c r="L180"/>
      <c r="M180"/>
      <c r="N180"/>
      <c r="O180"/>
      <c r="P180"/>
    </row>
    <row r="181" spans="2:16" s="89" customFormat="1" x14ac:dyDescent="0.2">
      <c r="B181" s="256" t="s">
        <v>915</v>
      </c>
      <c r="C181" s="257"/>
      <c r="D181" s="258"/>
      <c r="I181"/>
      <c r="J181"/>
      <c r="K181"/>
      <c r="L181"/>
      <c r="M181"/>
      <c r="N181"/>
      <c r="O181"/>
      <c r="P181"/>
    </row>
    <row r="182" spans="2:16" s="89" customFormat="1" ht="25.5" x14ac:dyDescent="0.2">
      <c r="B182" s="259" t="s">
        <v>916</v>
      </c>
      <c r="C182" s="259"/>
      <c r="D182" s="107" t="s">
        <v>636</v>
      </c>
      <c r="I182"/>
      <c r="J182"/>
      <c r="K182"/>
      <c r="L182"/>
      <c r="M182"/>
      <c r="N182"/>
      <c r="O182"/>
      <c r="P182"/>
    </row>
    <row r="183" spans="2:16" s="89" customFormat="1" x14ac:dyDescent="0.2">
      <c r="B183" s="259" t="s">
        <v>917</v>
      </c>
      <c r="C183" s="259"/>
      <c r="D183" s="115"/>
      <c r="I183"/>
      <c r="J183"/>
      <c r="K183"/>
      <c r="L183"/>
      <c r="M183"/>
      <c r="N183"/>
      <c r="O183"/>
      <c r="P183"/>
    </row>
    <row r="184" spans="2:16" s="89" customFormat="1" x14ac:dyDescent="0.2">
      <c r="B184" s="260"/>
      <c r="C184" s="261"/>
      <c r="D184" s="108"/>
      <c r="I184"/>
      <c r="J184"/>
      <c r="K184"/>
      <c r="L184"/>
      <c r="M184"/>
      <c r="N184"/>
      <c r="O184"/>
      <c r="P184"/>
    </row>
    <row r="185" spans="2:16" s="89" customFormat="1" x14ac:dyDescent="0.2">
      <c r="B185" s="259" t="s">
        <v>918</v>
      </c>
      <c r="C185" s="259"/>
      <c r="D185" s="109">
        <v>5.4210138535298675</v>
      </c>
      <c r="I185"/>
      <c r="J185"/>
      <c r="K185"/>
      <c r="L185"/>
      <c r="M185"/>
      <c r="N185"/>
      <c r="O185"/>
      <c r="P185"/>
    </row>
    <row r="186" spans="2:16" s="89" customFormat="1" x14ac:dyDescent="0.2">
      <c r="B186" s="260"/>
      <c r="C186" s="261"/>
      <c r="D186" s="108"/>
      <c r="I186"/>
      <c r="J186"/>
      <c r="K186"/>
      <c r="L186"/>
      <c r="M186"/>
      <c r="N186"/>
      <c r="O186"/>
      <c r="P186"/>
    </row>
    <row r="187" spans="2:16" s="89" customFormat="1" x14ac:dyDescent="0.2">
      <c r="B187" s="259" t="s">
        <v>919</v>
      </c>
      <c r="C187" s="259"/>
      <c r="D187" s="109">
        <v>0.48215427323394816</v>
      </c>
      <c r="I187"/>
      <c r="J187"/>
      <c r="K187"/>
      <c r="L187"/>
      <c r="M187"/>
      <c r="N187"/>
      <c r="O187"/>
      <c r="P187"/>
    </row>
    <row r="188" spans="2:16" s="89" customFormat="1" x14ac:dyDescent="0.2">
      <c r="B188" s="259" t="s">
        <v>920</v>
      </c>
      <c r="C188" s="259"/>
      <c r="D188" s="109">
        <v>0.50841783889008918</v>
      </c>
      <c r="I188"/>
      <c r="J188"/>
      <c r="K188"/>
      <c r="L188"/>
      <c r="M188"/>
      <c r="N188"/>
      <c r="O188"/>
      <c r="P188"/>
    </row>
    <row r="189" spans="2:16" s="89" customFormat="1" x14ac:dyDescent="0.2">
      <c r="B189" s="260"/>
      <c r="C189" s="261"/>
      <c r="D189" s="108"/>
      <c r="I189"/>
      <c r="J189"/>
      <c r="K189"/>
      <c r="L189"/>
      <c r="M189"/>
      <c r="N189"/>
      <c r="O189"/>
      <c r="P189"/>
    </row>
    <row r="190" spans="2:16" s="89" customFormat="1" x14ac:dyDescent="0.2">
      <c r="B190" s="259" t="s">
        <v>921</v>
      </c>
      <c r="C190" s="259"/>
      <c r="D190" s="111" t="s">
        <v>924</v>
      </c>
      <c r="I190"/>
      <c r="J190"/>
      <c r="K190"/>
      <c r="L190"/>
      <c r="M190"/>
      <c r="N190"/>
      <c r="O190"/>
      <c r="P190"/>
    </row>
    <row r="191" spans="2:16" s="89" customFormat="1" x14ac:dyDescent="0.2">
      <c r="B191" s="260" t="s">
        <v>922</v>
      </c>
      <c r="C191" s="262"/>
      <c r="D191" s="261"/>
      <c r="I191"/>
      <c r="J191"/>
      <c r="K191"/>
      <c r="L191"/>
      <c r="M191"/>
      <c r="N191"/>
      <c r="O191"/>
      <c r="P191"/>
    </row>
    <row r="193" spans="2:10" x14ac:dyDescent="0.2">
      <c r="B193" s="229" t="s">
        <v>866</v>
      </c>
      <c r="C193" s="229"/>
    </row>
    <row r="195" spans="2:10" ht="153.75" customHeight="1" x14ac:dyDescent="0.2"/>
    <row r="198" spans="2:10" x14ac:dyDescent="0.2">
      <c r="B198" s="66" t="s">
        <v>867</v>
      </c>
      <c r="C198" s="67"/>
      <c r="D198" s="66"/>
    </row>
    <row r="199" spans="2:10" x14ac:dyDescent="0.2">
      <c r="B199" s="66" t="s">
        <v>962</v>
      </c>
      <c r="D199" s="66"/>
    </row>
    <row r="200" spans="2:10" ht="165" customHeight="1" x14ac:dyDescent="0.2"/>
    <row r="202" spans="2:10" x14ac:dyDescent="0.2">
      <c r="J202" s="21"/>
    </row>
    <row r="209" customFormat="1" x14ac:dyDescent="0.2"/>
  </sheetData>
  <mergeCells count="29">
    <mergeCell ref="B191:D191"/>
    <mergeCell ref="B193:C193"/>
    <mergeCell ref="B186:C186"/>
    <mergeCell ref="B187:C187"/>
    <mergeCell ref="B188:C188"/>
    <mergeCell ref="B189:C189"/>
    <mergeCell ref="B190:C190"/>
    <mergeCell ref="B181:D181"/>
    <mergeCell ref="B182:C182"/>
    <mergeCell ref="B183:C183"/>
    <mergeCell ref="B184:C184"/>
    <mergeCell ref="B185:C185"/>
    <mergeCell ref="A1:H1"/>
    <mergeCell ref="A2:H2"/>
    <mergeCell ref="A3:H3"/>
    <mergeCell ref="B161:C161"/>
    <mergeCell ref="B162:C162"/>
    <mergeCell ref="B155:H155"/>
    <mergeCell ref="B156:H156"/>
    <mergeCell ref="B157:H157"/>
    <mergeCell ref="B174:C174"/>
    <mergeCell ref="B175:C175"/>
    <mergeCell ref="B159:D159"/>
    <mergeCell ref="B160:C160"/>
    <mergeCell ref="B153:H153"/>
    <mergeCell ref="B154:H154"/>
    <mergeCell ref="B172:C172"/>
    <mergeCell ref="B173:C173"/>
    <mergeCell ref="B170:C170"/>
  </mergeCells>
  <hyperlinks>
    <hyperlink ref="I1" location="Index!B2" display="Index" xr:uid="{C1F7DF87-C0AE-424B-8A3F-8B8FD148DC3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69727-CF32-4ED7-A599-4129C33B6597}">
  <sheetPr>
    <outlinePr summaryBelow="0" summaryRight="0"/>
  </sheetPr>
  <dimension ref="A1:Q247"/>
  <sheetViews>
    <sheetView showGridLines="0" workbookViewId="0">
      <selection activeCell="C9" sqref="C9"/>
    </sheetView>
  </sheetViews>
  <sheetFormatPr defaultRowHeight="12.75" x14ac:dyDescent="0.2"/>
  <cols>
    <col min="1" max="1" width="5.85546875" bestFit="1" customWidth="1"/>
    <col min="2" max="2" width="20" bestFit="1" customWidth="1"/>
    <col min="3" max="3" width="39.140625" bestFit="1" customWidth="1"/>
    <col min="4" max="4" width="17.7109375" bestFit="1" customWidth="1"/>
    <col min="5" max="5" width="9.14062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664</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14</v>
      </c>
      <c r="C7" s="28" t="s">
        <v>15</v>
      </c>
      <c r="D7" s="28" t="s">
        <v>16</v>
      </c>
      <c r="E7" s="29">
        <v>697500</v>
      </c>
      <c r="F7" s="30">
        <v>8824.0725000000002</v>
      </c>
      <c r="G7" s="31">
        <v>5.8987949999999997E-2</v>
      </c>
      <c r="H7" s="24" t="s">
        <v>146</v>
      </c>
    </row>
    <row r="8" spans="1:9" x14ac:dyDescent="0.2">
      <c r="A8" s="27">
        <v>2</v>
      </c>
      <c r="B8" s="28" t="s">
        <v>327</v>
      </c>
      <c r="C8" s="28" t="s">
        <v>328</v>
      </c>
      <c r="D8" s="28" t="s">
        <v>33</v>
      </c>
      <c r="E8" s="29">
        <v>458640</v>
      </c>
      <c r="F8" s="30">
        <v>7791.1469999999999</v>
      </c>
      <c r="G8" s="31">
        <v>5.2082959999999998E-2</v>
      </c>
      <c r="H8" s="24" t="s">
        <v>146</v>
      </c>
    </row>
    <row r="9" spans="1:9" x14ac:dyDescent="0.2">
      <c r="A9" s="27">
        <v>3</v>
      </c>
      <c r="B9" s="28" t="s">
        <v>31</v>
      </c>
      <c r="C9" s="28" t="s">
        <v>32</v>
      </c>
      <c r="D9" s="28" t="s">
        <v>33</v>
      </c>
      <c r="E9" s="29">
        <v>568930</v>
      </c>
      <c r="F9" s="30">
        <v>7127.5550400000002</v>
      </c>
      <c r="G9" s="31">
        <v>4.7646920000000002E-2</v>
      </c>
      <c r="H9" s="24" t="s">
        <v>146</v>
      </c>
    </row>
    <row r="10" spans="1:9" x14ac:dyDescent="0.2">
      <c r="A10" s="27">
        <v>4</v>
      </c>
      <c r="B10" s="28" t="s">
        <v>329</v>
      </c>
      <c r="C10" s="28" t="s">
        <v>330</v>
      </c>
      <c r="D10" s="28" t="s">
        <v>195</v>
      </c>
      <c r="E10" s="29">
        <v>344400</v>
      </c>
      <c r="F10" s="30">
        <v>6474.0312000000004</v>
      </c>
      <c r="G10" s="31">
        <v>4.3278179999999999E-2</v>
      </c>
      <c r="H10" s="24" t="s">
        <v>146</v>
      </c>
    </row>
    <row r="11" spans="1:9" x14ac:dyDescent="0.2">
      <c r="A11" s="27">
        <v>5</v>
      </c>
      <c r="B11" s="28" t="s">
        <v>17</v>
      </c>
      <c r="C11" s="28" t="s">
        <v>18</v>
      </c>
      <c r="D11" s="28" t="s">
        <v>19</v>
      </c>
      <c r="E11" s="29">
        <v>351350</v>
      </c>
      <c r="F11" s="30">
        <v>5714.0050499999998</v>
      </c>
      <c r="G11" s="31">
        <v>3.8197490000000001E-2</v>
      </c>
      <c r="H11" s="24" t="s">
        <v>146</v>
      </c>
    </row>
    <row r="12" spans="1:9" x14ac:dyDescent="0.2">
      <c r="A12" s="27">
        <v>6</v>
      </c>
      <c r="B12" s="28" t="s">
        <v>333</v>
      </c>
      <c r="C12" s="28" t="s">
        <v>334</v>
      </c>
      <c r="D12" s="28" t="s">
        <v>33</v>
      </c>
      <c r="E12" s="29">
        <v>223520</v>
      </c>
      <c r="F12" s="30">
        <v>4249.7857599999998</v>
      </c>
      <c r="G12" s="31">
        <v>2.840935E-2</v>
      </c>
      <c r="H12" s="24" t="s">
        <v>146</v>
      </c>
    </row>
    <row r="13" spans="1:9" x14ac:dyDescent="0.2">
      <c r="A13" s="27">
        <v>7</v>
      </c>
      <c r="B13" s="28" t="s">
        <v>48</v>
      </c>
      <c r="C13" s="28" t="s">
        <v>49</v>
      </c>
      <c r="D13" s="28" t="s">
        <v>33</v>
      </c>
      <c r="E13" s="29">
        <v>402460</v>
      </c>
      <c r="F13" s="30">
        <v>3110.6133399999999</v>
      </c>
      <c r="G13" s="31">
        <v>2.0794110000000001E-2</v>
      </c>
      <c r="H13" s="24" t="s">
        <v>146</v>
      </c>
    </row>
    <row r="14" spans="1:9" x14ac:dyDescent="0.2">
      <c r="A14" s="27">
        <v>8</v>
      </c>
      <c r="B14" s="28" t="s">
        <v>11</v>
      </c>
      <c r="C14" s="28" t="s">
        <v>12</v>
      </c>
      <c r="D14" s="28" t="s">
        <v>13</v>
      </c>
      <c r="E14" s="29">
        <v>84000</v>
      </c>
      <c r="F14" s="30">
        <v>2996.616</v>
      </c>
      <c r="G14" s="31">
        <v>2.0032049999999999E-2</v>
      </c>
      <c r="H14" s="24" t="s">
        <v>146</v>
      </c>
    </row>
    <row r="15" spans="1:9" x14ac:dyDescent="0.2">
      <c r="A15" s="27">
        <v>9</v>
      </c>
      <c r="B15" s="28" t="s">
        <v>448</v>
      </c>
      <c r="C15" s="28" t="s">
        <v>449</v>
      </c>
      <c r="D15" s="28" t="s">
        <v>33</v>
      </c>
      <c r="E15" s="29">
        <v>289000</v>
      </c>
      <c r="F15" s="30">
        <v>2864.5680000000002</v>
      </c>
      <c r="G15" s="31">
        <v>1.9149320000000001E-2</v>
      </c>
      <c r="H15" s="24" t="s">
        <v>146</v>
      </c>
    </row>
    <row r="16" spans="1:9" x14ac:dyDescent="0.2">
      <c r="A16" s="79">
        <v>10</v>
      </c>
      <c r="B16" s="37" t="s">
        <v>963</v>
      </c>
      <c r="C16" s="37" t="s">
        <v>964</v>
      </c>
      <c r="D16" s="37" t="s">
        <v>47</v>
      </c>
      <c r="E16" s="80">
        <v>700000</v>
      </c>
      <c r="F16" s="81">
        <f>259098000/10^5</f>
        <v>2590.98</v>
      </c>
      <c r="G16" s="116">
        <f>F16/F174</f>
        <v>1.7320414901334236E-2</v>
      </c>
      <c r="H16" s="24" t="s">
        <v>146</v>
      </c>
    </row>
    <row r="17" spans="1:8" x14ac:dyDescent="0.2">
      <c r="A17" s="27">
        <v>11</v>
      </c>
      <c r="B17" s="28" t="s">
        <v>532</v>
      </c>
      <c r="C17" s="28" t="s">
        <v>533</v>
      </c>
      <c r="D17" s="28" t="s">
        <v>275</v>
      </c>
      <c r="E17" s="29">
        <v>73850</v>
      </c>
      <c r="F17" s="30">
        <v>2208.0042250000001</v>
      </c>
      <c r="G17" s="31">
        <v>1.4760260000000001E-2</v>
      </c>
      <c r="H17" s="24" t="s">
        <v>146</v>
      </c>
    </row>
    <row r="18" spans="1:8" x14ac:dyDescent="0.2">
      <c r="A18" s="27">
        <v>12</v>
      </c>
      <c r="B18" s="28" t="s">
        <v>339</v>
      </c>
      <c r="C18" s="28" t="s">
        <v>340</v>
      </c>
      <c r="D18" s="28" t="s">
        <v>33</v>
      </c>
      <c r="E18" s="29">
        <v>219385</v>
      </c>
      <c r="F18" s="30">
        <v>2163.355485</v>
      </c>
      <c r="G18" s="31">
        <v>1.446179E-2</v>
      </c>
      <c r="H18" s="24" t="s">
        <v>146</v>
      </c>
    </row>
    <row r="19" spans="1:8" x14ac:dyDescent="0.2">
      <c r="A19" s="27">
        <v>13</v>
      </c>
      <c r="B19" s="28" t="s">
        <v>341</v>
      </c>
      <c r="C19" s="28" t="s">
        <v>342</v>
      </c>
      <c r="D19" s="28" t="s">
        <v>33</v>
      </c>
      <c r="E19" s="29">
        <v>930150</v>
      </c>
      <c r="F19" s="30">
        <v>1984.8470850000001</v>
      </c>
      <c r="G19" s="31">
        <v>1.3268479999999999E-2</v>
      </c>
      <c r="H19" s="24" t="s">
        <v>146</v>
      </c>
    </row>
    <row r="20" spans="1:8" ht="25.5" x14ac:dyDescent="0.2">
      <c r="A20" s="27">
        <v>14</v>
      </c>
      <c r="B20" s="28" t="s">
        <v>437</v>
      </c>
      <c r="C20" s="28" t="s">
        <v>438</v>
      </c>
      <c r="D20" s="28" t="s">
        <v>198</v>
      </c>
      <c r="E20" s="29">
        <v>128700</v>
      </c>
      <c r="F20" s="30">
        <v>1903.9878000000001</v>
      </c>
      <c r="G20" s="31">
        <v>1.272795E-2</v>
      </c>
      <c r="H20" s="24" t="s">
        <v>146</v>
      </c>
    </row>
    <row r="21" spans="1:8" x14ac:dyDescent="0.2">
      <c r="A21" s="27">
        <v>15</v>
      </c>
      <c r="B21" s="28" t="s">
        <v>191</v>
      </c>
      <c r="C21" s="28" t="s">
        <v>192</v>
      </c>
      <c r="D21" s="28" t="s">
        <v>39</v>
      </c>
      <c r="E21" s="29">
        <v>375000</v>
      </c>
      <c r="F21" s="30">
        <v>1886.625</v>
      </c>
      <c r="G21" s="31">
        <v>1.2611880000000001E-2</v>
      </c>
      <c r="H21" s="24" t="s">
        <v>146</v>
      </c>
    </row>
    <row r="22" spans="1:8" x14ac:dyDescent="0.2">
      <c r="A22" s="27">
        <v>16</v>
      </c>
      <c r="B22" s="28" t="s">
        <v>648</v>
      </c>
      <c r="C22" s="28" t="s">
        <v>649</v>
      </c>
      <c r="D22" s="28" t="s">
        <v>33</v>
      </c>
      <c r="E22" s="29">
        <v>1917000</v>
      </c>
      <c r="F22" s="30">
        <v>1787.9858999999999</v>
      </c>
      <c r="G22" s="31">
        <v>1.195249E-2</v>
      </c>
      <c r="H22" s="24" t="s">
        <v>146</v>
      </c>
    </row>
    <row r="23" spans="1:8" x14ac:dyDescent="0.2">
      <c r="A23" s="27">
        <v>17</v>
      </c>
      <c r="B23" s="28" t="s">
        <v>435</v>
      </c>
      <c r="C23" s="28" t="s">
        <v>436</v>
      </c>
      <c r="D23" s="28" t="s">
        <v>195</v>
      </c>
      <c r="E23" s="29">
        <v>103100</v>
      </c>
      <c r="F23" s="30">
        <v>1778.93895</v>
      </c>
      <c r="G23" s="31">
        <v>1.189201E-2</v>
      </c>
      <c r="H23" s="24" t="s">
        <v>146</v>
      </c>
    </row>
    <row r="24" spans="1:8" x14ac:dyDescent="0.2">
      <c r="A24" s="27">
        <v>18</v>
      </c>
      <c r="B24" s="28" t="s">
        <v>269</v>
      </c>
      <c r="C24" s="28" t="s">
        <v>270</v>
      </c>
      <c r="D24" s="28" t="s">
        <v>120</v>
      </c>
      <c r="E24" s="29">
        <v>300000</v>
      </c>
      <c r="F24" s="30">
        <v>1631.25</v>
      </c>
      <c r="G24" s="31">
        <v>1.090473E-2</v>
      </c>
      <c r="H24" s="24" t="s">
        <v>146</v>
      </c>
    </row>
    <row r="25" spans="1:8" x14ac:dyDescent="0.2">
      <c r="A25" s="27">
        <v>19</v>
      </c>
      <c r="B25" s="28" t="s">
        <v>526</v>
      </c>
      <c r="C25" s="28" t="s">
        <v>527</v>
      </c>
      <c r="D25" s="28" t="s">
        <v>275</v>
      </c>
      <c r="E25" s="29">
        <v>13100</v>
      </c>
      <c r="F25" s="30">
        <v>1612.69515</v>
      </c>
      <c r="G25" s="31">
        <v>1.0780690000000001E-2</v>
      </c>
      <c r="H25" s="24" t="s">
        <v>146</v>
      </c>
    </row>
    <row r="26" spans="1:8" ht="25.5" x14ac:dyDescent="0.2">
      <c r="A26" s="27">
        <v>20</v>
      </c>
      <c r="B26" s="28" t="s">
        <v>337</v>
      </c>
      <c r="C26" s="28" t="s">
        <v>338</v>
      </c>
      <c r="D26" s="28" t="s">
        <v>198</v>
      </c>
      <c r="E26" s="29">
        <v>87700</v>
      </c>
      <c r="F26" s="30">
        <v>1529.44415</v>
      </c>
      <c r="G26" s="31">
        <v>1.0224169999999999E-2</v>
      </c>
      <c r="H26" s="24" t="s">
        <v>146</v>
      </c>
    </row>
    <row r="27" spans="1:8" x14ac:dyDescent="0.2">
      <c r="A27" s="27">
        <v>21</v>
      </c>
      <c r="B27" s="28" t="s">
        <v>524</v>
      </c>
      <c r="C27" s="28" t="s">
        <v>525</v>
      </c>
      <c r="D27" s="28" t="s">
        <v>226</v>
      </c>
      <c r="E27" s="29">
        <v>105600</v>
      </c>
      <c r="F27" s="30">
        <v>1503.7439999999999</v>
      </c>
      <c r="G27" s="31">
        <v>1.005236E-2</v>
      </c>
      <c r="H27" s="24" t="s">
        <v>146</v>
      </c>
    </row>
    <row r="28" spans="1:8" x14ac:dyDescent="0.2">
      <c r="A28" s="27">
        <v>22</v>
      </c>
      <c r="B28" s="28" t="s">
        <v>335</v>
      </c>
      <c r="C28" s="28" t="s">
        <v>336</v>
      </c>
      <c r="D28" s="28" t="s">
        <v>195</v>
      </c>
      <c r="E28" s="29">
        <v>35000</v>
      </c>
      <c r="F28" s="30">
        <v>1439.34</v>
      </c>
      <c r="G28" s="31">
        <v>9.6218299999999996E-3</v>
      </c>
      <c r="H28" s="24" t="s">
        <v>146</v>
      </c>
    </row>
    <row r="29" spans="1:8" x14ac:dyDescent="0.2">
      <c r="A29" s="27">
        <v>23</v>
      </c>
      <c r="B29" s="28" t="s">
        <v>528</v>
      </c>
      <c r="C29" s="28" t="s">
        <v>529</v>
      </c>
      <c r="D29" s="28" t="s">
        <v>275</v>
      </c>
      <c r="E29" s="29">
        <v>16137</v>
      </c>
      <c r="F29" s="30">
        <v>1427.7694859999999</v>
      </c>
      <c r="G29" s="31">
        <v>9.5444799999999993E-3</v>
      </c>
      <c r="H29" s="24" t="s">
        <v>146</v>
      </c>
    </row>
    <row r="30" spans="1:8" x14ac:dyDescent="0.2">
      <c r="A30" s="27">
        <v>24</v>
      </c>
      <c r="B30" s="28" t="s">
        <v>644</v>
      </c>
      <c r="C30" s="28" t="s">
        <v>645</v>
      </c>
      <c r="D30" s="28" t="s">
        <v>120</v>
      </c>
      <c r="E30" s="29">
        <v>17250</v>
      </c>
      <c r="F30" s="30">
        <v>1360.17975</v>
      </c>
      <c r="G30" s="31">
        <v>9.0926500000000007E-3</v>
      </c>
      <c r="H30" s="24" t="s">
        <v>146</v>
      </c>
    </row>
    <row r="31" spans="1:8" x14ac:dyDescent="0.2">
      <c r="A31" s="27">
        <v>25</v>
      </c>
      <c r="B31" s="28" t="s">
        <v>652</v>
      </c>
      <c r="C31" s="28" t="s">
        <v>653</v>
      </c>
      <c r="D31" s="28" t="s">
        <v>120</v>
      </c>
      <c r="E31" s="29">
        <v>76000</v>
      </c>
      <c r="F31" s="30">
        <v>1319.4359999999999</v>
      </c>
      <c r="G31" s="31">
        <v>8.8202799999999998E-3</v>
      </c>
      <c r="H31" s="24" t="s">
        <v>146</v>
      </c>
    </row>
    <row r="32" spans="1:8" ht="25.5" x14ac:dyDescent="0.2">
      <c r="A32" s="27">
        <v>26</v>
      </c>
      <c r="B32" s="28" t="s">
        <v>23</v>
      </c>
      <c r="C32" s="28" t="s">
        <v>24</v>
      </c>
      <c r="D32" s="28" t="s">
        <v>25</v>
      </c>
      <c r="E32" s="29">
        <v>11380</v>
      </c>
      <c r="F32" s="30">
        <v>1307.27181</v>
      </c>
      <c r="G32" s="31">
        <v>8.7389700000000004E-3</v>
      </c>
      <c r="H32" s="24" t="s">
        <v>146</v>
      </c>
    </row>
    <row r="33" spans="1:8" ht="25.5" x14ac:dyDescent="0.2">
      <c r="A33" s="27">
        <v>27</v>
      </c>
      <c r="B33" s="28" t="s">
        <v>229</v>
      </c>
      <c r="C33" s="28" t="s">
        <v>230</v>
      </c>
      <c r="D33" s="28" t="s">
        <v>198</v>
      </c>
      <c r="E33" s="29">
        <v>25000</v>
      </c>
      <c r="F33" s="30">
        <v>1265.7625</v>
      </c>
      <c r="G33" s="31">
        <v>8.4614800000000004E-3</v>
      </c>
      <c r="H33" s="24" t="s">
        <v>146</v>
      </c>
    </row>
    <row r="34" spans="1:8" x14ac:dyDescent="0.2">
      <c r="A34" s="27">
        <v>28</v>
      </c>
      <c r="B34" s="28" t="s">
        <v>221</v>
      </c>
      <c r="C34" s="28" t="s">
        <v>222</v>
      </c>
      <c r="D34" s="28" t="s">
        <v>223</v>
      </c>
      <c r="E34" s="29">
        <v>176750</v>
      </c>
      <c r="F34" s="30">
        <v>1244.1432500000001</v>
      </c>
      <c r="G34" s="31">
        <v>8.31696E-3</v>
      </c>
      <c r="H34" s="24" t="s">
        <v>146</v>
      </c>
    </row>
    <row r="35" spans="1:8" x14ac:dyDescent="0.2">
      <c r="A35" s="27">
        <v>29</v>
      </c>
      <c r="B35" s="28" t="s">
        <v>43</v>
      </c>
      <c r="C35" s="28" t="s">
        <v>44</v>
      </c>
      <c r="D35" s="28" t="s">
        <v>16</v>
      </c>
      <c r="E35" s="29">
        <v>475000</v>
      </c>
      <c r="F35" s="30">
        <v>1240.2249999999999</v>
      </c>
      <c r="G35" s="31">
        <v>8.2907699999999994E-3</v>
      </c>
      <c r="H35" s="24" t="s">
        <v>146</v>
      </c>
    </row>
    <row r="36" spans="1:8" x14ac:dyDescent="0.2">
      <c r="A36" s="27">
        <v>30</v>
      </c>
      <c r="B36" s="28" t="s">
        <v>357</v>
      </c>
      <c r="C36" s="28" t="s">
        <v>358</v>
      </c>
      <c r="D36" s="28" t="s">
        <v>275</v>
      </c>
      <c r="E36" s="29">
        <v>166790</v>
      </c>
      <c r="F36" s="30">
        <v>1194.38319</v>
      </c>
      <c r="G36" s="31">
        <v>7.9843199999999996E-3</v>
      </c>
      <c r="H36" s="24" t="s">
        <v>146</v>
      </c>
    </row>
    <row r="37" spans="1:8" x14ac:dyDescent="0.2">
      <c r="A37" s="27">
        <v>31</v>
      </c>
      <c r="B37" s="28" t="s">
        <v>530</v>
      </c>
      <c r="C37" s="28" t="s">
        <v>531</v>
      </c>
      <c r="D37" s="28" t="s">
        <v>195</v>
      </c>
      <c r="E37" s="29">
        <v>64600</v>
      </c>
      <c r="F37" s="30">
        <v>1081.6947</v>
      </c>
      <c r="G37" s="31">
        <v>7.2310100000000004E-3</v>
      </c>
      <c r="H37" s="24" t="s">
        <v>146</v>
      </c>
    </row>
    <row r="38" spans="1:8" ht="25.5" x14ac:dyDescent="0.2">
      <c r="A38" s="27">
        <v>32</v>
      </c>
      <c r="B38" s="28" t="s">
        <v>238</v>
      </c>
      <c r="C38" s="28" t="s">
        <v>239</v>
      </c>
      <c r="D38" s="28" t="s">
        <v>198</v>
      </c>
      <c r="E38" s="29">
        <v>111300</v>
      </c>
      <c r="F38" s="30">
        <v>1079.88825</v>
      </c>
      <c r="G38" s="31">
        <v>7.2189300000000001E-3</v>
      </c>
      <c r="H38" s="24" t="s">
        <v>146</v>
      </c>
    </row>
    <row r="39" spans="1:8" x14ac:dyDescent="0.2">
      <c r="A39" s="27">
        <v>33</v>
      </c>
      <c r="B39" s="28" t="s">
        <v>278</v>
      </c>
      <c r="C39" s="28" t="s">
        <v>279</v>
      </c>
      <c r="D39" s="28" t="s">
        <v>280</v>
      </c>
      <c r="E39" s="29">
        <v>164550</v>
      </c>
      <c r="F39" s="30">
        <v>1013.628</v>
      </c>
      <c r="G39" s="31">
        <v>6.77599E-3</v>
      </c>
      <c r="H39" s="24" t="s">
        <v>146</v>
      </c>
    </row>
    <row r="40" spans="1:8" x14ac:dyDescent="0.2">
      <c r="A40" s="27">
        <v>34</v>
      </c>
      <c r="B40" s="28" t="s">
        <v>20</v>
      </c>
      <c r="C40" s="28" t="s">
        <v>21</v>
      </c>
      <c r="D40" s="28" t="s">
        <v>22</v>
      </c>
      <c r="E40" s="29">
        <v>305000</v>
      </c>
      <c r="F40" s="30">
        <v>988.2</v>
      </c>
      <c r="G40" s="31">
        <v>6.6060099999999998E-3</v>
      </c>
      <c r="H40" s="24" t="s">
        <v>146</v>
      </c>
    </row>
    <row r="41" spans="1:8" ht="25.5" x14ac:dyDescent="0.2">
      <c r="A41" s="27">
        <v>35</v>
      </c>
      <c r="B41" s="28" t="s">
        <v>443</v>
      </c>
      <c r="C41" s="28" t="s">
        <v>444</v>
      </c>
      <c r="D41" s="28" t="s">
        <v>218</v>
      </c>
      <c r="E41" s="29">
        <v>93437</v>
      </c>
      <c r="F41" s="30">
        <v>957.4022205</v>
      </c>
      <c r="G41" s="31">
        <v>6.4001300000000004E-3</v>
      </c>
      <c r="H41" s="24" t="s">
        <v>146</v>
      </c>
    </row>
    <row r="42" spans="1:8" x14ac:dyDescent="0.2">
      <c r="A42" s="27">
        <v>36</v>
      </c>
      <c r="B42" s="28" t="s">
        <v>69</v>
      </c>
      <c r="C42" s="28" t="s">
        <v>70</v>
      </c>
      <c r="D42" s="28" t="s">
        <v>22</v>
      </c>
      <c r="E42" s="29">
        <v>260000</v>
      </c>
      <c r="F42" s="30">
        <v>947.7</v>
      </c>
      <c r="G42" s="31">
        <v>6.3352699999999996E-3</v>
      </c>
      <c r="H42" s="24" t="s">
        <v>146</v>
      </c>
    </row>
    <row r="43" spans="1:8" x14ac:dyDescent="0.2">
      <c r="A43" s="27">
        <v>37</v>
      </c>
      <c r="B43" s="28" t="s">
        <v>227</v>
      </c>
      <c r="C43" s="28" t="s">
        <v>228</v>
      </c>
      <c r="D43" s="28" t="s">
        <v>83</v>
      </c>
      <c r="E43" s="29">
        <v>216200</v>
      </c>
      <c r="F43" s="30">
        <v>945.44259999999997</v>
      </c>
      <c r="G43" s="31">
        <v>6.3201799999999999E-3</v>
      </c>
      <c r="H43" s="24" t="s">
        <v>146</v>
      </c>
    </row>
    <row r="44" spans="1:8" x14ac:dyDescent="0.2">
      <c r="A44" s="27">
        <v>38</v>
      </c>
      <c r="B44" s="28" t="s">
        <v>37</v>
      </c>
      <c r="C44" s="28" t="s">
        <v>38</v>
      </c>
      <c r="D44" s="28" t="s">
        <v>39</v>
      </c>
      <c r="E44" s="29">
        <v>14000</v>
      </c>
      <c r="F44" s="30">
        <v>910.25199999999995</v>
      </c>
      <c r="G44" s="31">
        <v>6.0849299999999997E-3</v>
      </c>
      <c r="H44" s="24" t="s">
        <v>146</v>
      </c>
    </row>
    <row r="45" spans="1:8" x14ac:dyDescent="0.2">
      <c r="A45" s="27">
        <v>39</v>
      </c>
      <c r="B45" s="28" t="s">
        <v>347</v>
      </c>
      <c r="C45" s="28" t="s">
        <v>348</v>
      </c>
      <c r="D45" s="28" t="s">
        <v>349</v>
      </c>
      <c r="E45" s="29">
        <v>199200</v>
      </c>
      <c r="F45" s="30">
        <v>891.42</v>
      </c>
      <c r="G45" s="31">
        <v>5.9590399999999996E-3</v>
      </c>
      <c r="H45" s="24" t="s">
        <v>146</v>
      </c>
    </row>
    <row r="46" spans="1:8" ht="25.5" x14ac:dyDescent="0.2">
      <c r="A46" s="27">
        <v>40</v>
      </c>
      <c r="B46" s="28" t="s">
        <v>216</v>
      </c>
      <c r="C46" s="28" t="s">
        <v>217</v>
      </c>
      <c r="D46" s="28" t="s">
        <v>218</v>
      </c>
      <c r="E46" s="29">
        <v>129000</v>
      </c>
      <c r="F46" s="30">
        <v>865.13850000000002</v>
      </c>
      <c r="G46" s="31">
        <v>5.7833600000000004E-3</v>
      </c>
      <c r="H46" s="24" t="s">
        <v>146</v>
      </c>
    </row>
    <row r="47" spans="1:8" ht="25.5" x14ac:dyDescent="0.2">
      <c r="A47" s="27">
        <v>41</v>
      </c>
      <c r="B47" s="28" t="s">
        <v>369</v>
      </c>
      <c r="C47" s="28" t="s">
        <v>370</v>
      </c>
      <c r="D47" s="28" t="s">
        <v>25</v>
      </c>
      <c r="E47" s="29">
        <v>33500</v>
      </c>
      <c r="F47" s="30">
        <v>840.46474999999998</v>
      </c>
      <c r="G47" s="31">
        <v>5.6184099999999999E-3</v>
      </c>
      <c r="H47" s="24" t="s">
        <v>146</v>
      </c>
    </row>
    <row r="48" spans="1:8" ht="25.5" x14ac:dyDescent="0.2">
      <c r="A48" s="27">
        <v>42</v>
      </c>
      <c r="B48" s="28" t="s">
        <v>345</v>
      </c>
      <c r="C48" s="28" t="s">
        <v>346</v>
      </c>
      <c r="D48" s="28" t="s">
        <v>198</v>
      </c>
      <c r="E48" s="29">
        <v>68900</v>
      </c>
      <c r="F48" s="30">
        <v>838.75414999999998</v>
      </c>
      <c r="G48" s="31">
        <v>5.6069800000000001E-3</v>
      </c>
      <c r="H48" s="24" t="s">
        <v>146</v>
      </c>
    </row>
    <row r="49" spans="1:8" ht="25.5" x14ac:dyDescent="0.2">
      <c r="A49" s="79">
        <v>43</v>
      </c>
      <c r="B49" s="37" t="s">
        <v>965</v>
      </c>
      <c r="C49" s="37" t="s">
        <v>966</v>
      </c>
      <c r="D49" s="37" t="s">
        <v>22</v>
      </c>
      <c r="E49" s="80">
        <v>998132</v>
      </c>
      <c r="F49" s="81">
        <f>81507459.12/10^5</f>
        <v>815.0745912000001</v>
      </c>
      <c r="G49" s="82">
        <f>F49/F174</f>
        <v>5.4486835464262135E-3</v>
      </c>
      <c r="H49" s="24" t="s">
        <v>146</v>
      </c>
    </row>
    <row r="50" spans="1:8" x14ac:dyDescent="0.2">
      <c r="A50" s="27">
        <v>44</v>
      </c>
      <c r="B50" s="28" t="s">
        <v>250</v>
      </c>
      <c r="C50" s="28" t="s">
        <v>251</v>
      </c>
      <c r="D50" s="28" t="s">
        <v>42</v>
      </c>
      <c r="E50" s="29">
        <v>13200</v>
      </c>
      <c r="F50" s="30">
        <v>797.00940000000003</v>
      </c>
      <c r="G50" s="31">
        <v>5.3279199999999999E-3</v>
      </c>
      <c r="H50" s="24" t="s">
        <v>146</v>
      </c>
    </row>
    <row r="51" spans="1:8" x14ac:dyDescent="0.2">
      <c r="A51" s="27">
        <v>45</v>
      </c>
      <c r="B51" s="28" t="s">
        <v>287</v>
      </c>
      <c r="C51" s="28" t="s">
        <v>288</v>
      </c>
      <c r="D51" s="28" t="s">
        <v>233</v>
      </c>
      <c r="E51" s="29">
        <v>22000</v>
      </c>
      <c r="F51" s="30">
        <v>792.77</v>
      </c>
      <c r="G51" s="31">
        <v>5.2995799999999999E-3</v>
      </c>
      <c r="H51" s="24" t="s">
        <v>146</v>
      </c>
    </row>
    <row r="52" spans="1:8" x14ac:dyDescent="0.2">
      <c r="A52" s="27">
        <v>46</v>
      </c>
      <c r="B52" s="28" t="s">
        <v>343</v>
      </c>
      <c r="C52" s="28" t="s">
        <v>344</v>
      </c>
      <c r="D52" s="28" t="s">
        <v>226</v>
      </c>
      <c r="E52" s="29">
        <v>145000</v>
      </c>
      <c r="F52" s="30">
        <v>778.28750000000002</v>
      </c>
      <c r="G52" s="31">
        <v>5.2027699999999998E-3</v>
      </c>
      <c r="H52" s="24" t="s">
        <v>146</v>
      </c>
    </row>
    <row r="53" spans="1:8" x14ac:dyDescent="0.2">
      <c r="A53" s="27">
        <v>47</v>
      </c>
      <c r="B53" s="28" t="s">
        <v>102</v>
      </c>
      <c r="C53" s="28" t="s">
        <v>103</v>
      </c>
      <c r="D53" s="28" t="s">
        <v>42</v>
      </c>
      <c r="E53" s="29">
        <v>38470</v>
      </c>
      <c r="F53" s="30">
        <v>741.49001499999997</v>
      </c>
      <c r="G53" s="31">
        <v>4.95678E-3</v>
      </c>
      <c r="H53" s="24" t="s">
        <v>146</v>
      </c>
    </row>
    <row r="54" spans="1:8" x14ac:dyDescent="0.2">
      <c r="A54" s="27">
        <v>48</v>
      </c>
      <c r="B54" s="28" t="s">
        <v>305</v>
      </c>
      <c r="C54" s="28" t="s">
        <v>306</v>
      </c>
      <c r="D54" s="28" t="s">
        <v>39</v>
      </c>
      <c r="E54" s="29">
        <v>58250</v>
      </c>
      <c r="F54" s="30">
        <v>734.44512499999996</v>
      </c>
      <c r="G54" s="31">
        <v>4.9096799999999996E-3</v>
      </c>
      <c r="H54" s="24" t="s">
        <v>146</v>
      </c>
    </row>
    <row r="55" spans="1:8" ht="25.5" x14ac:dyDescent="0.2">
      <c r="A55" s="27">
        <v>49</v>
      </c>
      <c r="B55" s="28" t="s">
        <v>188</v>
      </c>
      <c r="C55" s="28" t="s">
        <v>189</v>
      </c>
      <c r="D55" s="28" t="s">
        <v>190</v>
      </c>
      <c r="E55" s="29">
        <v>40250</v>
      </c>
      <c r="F55" s="30">
        <v>728.34387500000003</v>
      </c>
      <c r="G55" s="31">
        <v>4.8688999999999998E-3</v>
      </c>
      <c r="H55" s="24" t="s">
        <v>146</v>
      </c>
    </row>
    <row r="56" spans="1:8" ht="25.5" x14ac:dyDescent="0.2">
      <c r="A56" s="27">
        <v>50</v>
      </c>
      <c r="B56" s="28" t="s">
        <v>196</v>
      </c>
      <c r="C56" s="28" t="s">
        <v>197</v>
      </c>
      <c r="D56" s="28" t="s">
        <v>198</v>
      </c>
      <c r="E56" s="29">
        <v>35000</v>
      </c>
      <c r="F56" s="30">
        <v>728.15750000000003</v>
      </c>
      <c r="G56" s="31">
        <v>4.8676500000000003E-3</v>
      </c>
      <c r="H56" s="24" t="s">
        <v>146</v>
      </c>
    </row>
    <row r="57" spans="1:8" x14ac:dyDescent="0.2">
      <c r="A57" s="27">
        <v>51</v>
      </c>
      <c r="B57" s="28" t="s">
        <v>76</v>
      </c>
      <c r="C57" s="28" t="s">
        <v>77</v>
      </c>
      <c r="D57" s="28" t="s">
        <v>19</v>
      </c>
      <c r="E57" s="29">
        <v>195020</v>
      </c>
      <c r="F57" s="30">
        <v>677.10943999999995</v>
      </c>
      <c r="G57" s="31">
        <v>4.5263999999999999E-3</v>
      </c>
      <c r="H57" s="24" t="s">
        <v>146</v>
      </c>
    </row>
    <row r="58" spans="1:8" x14ac:dyDescent="0.2">
      <c r="A58" s="27">
        <v>52</v>
      </c>
      <c r="B58" s="28" t="s">
        <v>28</v>
      </c>
      <c r="C58" s="28" t="s">
        <v>29</v>
      </c>
      <c r="D58" s="28" t="s">
        <v>30</v>
      </c>
      <c r="E58" s="29">
        <v>228000</v>
      </c>
      <c r="F58" s="30">
        <v>667.24199999999996</v>
      </c>
      <c r="G58" s="31">
        <v>4.4604400000000004E-3</v>
      </c>
      <c r="H58" s="24" t="s">
        <v>146</v>
      </c>
    </row>
    <row r="59" spans="1:8" x14ac:dyDescent="0.2">
      <c r="A59" s="27">
        <v>53</v>
      </c>
      <c r="B59" s="28" t="s">
        <v>206</v>
      </c>
      <c r="C59" s="28" t="s">
        <v>207</v>
      </c>
      <c r="D59" s="28" t="s">
        <v>208</v>
      </c>
      <c r="E59" s="29">
        <v>100000</v>
      </c>
      <c r="F59" s="30">
        <v>640.20000000000005</v>
      </c>
      <c r="G59" s="31">
        <v>4.2796700000000002E-3</v>
      </c>
      <c r="H59" s="24" t="s">
        <v>146</v>
      </c>
    </row>
    <row r="60" spans="1:8" ht="25.5" x14ac:dyDescent="0.2">
      <c r="A60" s="27">
        <v>54</v>
      </c>
      <c r="B60" s="28" t="s">
        <v>50</v>
      </c>
      <c r="C60" s="28" t="s">
        <v>51</v>
      </c>
      <c r="D60" s="28" t="s">
        <v>25</v>
      </c>
      <c r="E60" s="29">
        <v>13000</v>
      </c>
      <c r="F60" s="30">
        <v>628.53049999999996</v>
      </c>
      <c r="G60" s="31">
        <v>4.2016600000000003E-3</v>
      </c>
      <c r="H60" s="24" t="s">
        <v>146</v>
      </c>
    </row>
    <row r="61" spans="1:8" x14ac:dyDescent="0.2">
      <c r="A61" s="27">
        <v>55</v>
      </c>
      <c r="B61" s="28" t="s">
        <v>538</v>
      </c>
      <c r="C61" s="28" t="s">
        <v>539</v>
      </c>
      <c r="D61" s="28" t="s">
        <v>42</v>
      </c>
      <c r="E61" s="29">
        <v>300000</v>
      </c>
      <c r="F61" s="30">
        <v>615.6</v>
      </c>
      <c r="G61" s="31">
        <v>4.1152200000000002E-3</v>
      </c>
      <c r="H61" s="24" t="s">
        <v>146</v>
      </c>
    </row>
    <row r="62" spans="1:8" x14ac:dyDescent="0.2">
      <c r="A62" s="27">
        <v>56</v>
      </c>
      <c r="B62" s="28" t="s">
        <v>445</v>
      </c>
      <c r="C62" s="28" t="s">
        <v>446</v>
      </c>
      <c r="D62" s="28" t="s">
        <v>447</v>
      </c>
      <c r="E62" s="29">
        <v>98000</v>
      </c>
      <c r="F62" s="30">
        <v>582.41399999999999</v>
      </c>
      <c r="G62" s="31">
        <v>3.8933700000000002E-3</v>
      </c>
      <c r="H62" s="24" t="s">
        <v>146</v>
      </c>
    </row>
    <row r="63" spans="1:8" x14ac:dyDescent="0.2">
      <c r="A63" s="27">
        <v>57</v>
      </c>
      <c r="B63" s="28" t="s">
        <v>97</v>
      </c>
      <c r="C63" s="28" t="s">
        <v>98</v>
      </c>
      <c r="D63" s="28" t="s">
        <v>99</v>
      </c>
      <c r="E63" s="29">
        <v>293425</v>
      </c>
      <c r="F63" s="30">
        <v>519.71436000000006</v>
      </c>
      <c r="G63" s="31">
        <v>3.47423E-3</v>
      </c>
      <c r="H63" s="24" t="s">
        <v>146</v>
      </c>
    </row>
    <row r="64" spans="1:8" x14ac:dyDescent="0.2">
      <c r="A64" s="27">
        <v>58</v>
      </c>
      <c r="B64" s="28" t="s">
        <v>240</v>
      </c>
      <c r="C64" s="28" t="s">
        <v>241</v>
      </c>
      <c r="D64" s="28" t="s">
        <v>195</v>
      </c>
      <c r="E64" s="29">
        <v>13750</v>
      </c>
      <c r="F64" s="30">
        <v>394.34312499999999</v>
      </c>
      <c r="G64" s="31">
        <v>2.6361399999999999E-3</v>
      </c>
      <c r="H64" s="24" t="s">
        <v>146</v>
      </c>
    </row>
    <row r="65" spans="1:8" x14ac:dyDescent="0.2">
      <c r="A65" s="27">
        <v>59</v>
      </c>
      <c r="B65" s="28" t="s">
        <v>92</v>
      </c>
      <c r="C65" s="28" t="s">
        <v>93</v>
      </c>
      <c r="D65" s="28" t="s">
        <v>83</v>
      </c>
      <c r="E65" s="29">
        <v>9400</v>
      </c>
      <c r="F65" s="30">
        <v>392.65679999999998</v>
      </c>
      <c r="G65" s="31">
        <v>2.6248700000000001E-3</v>
      </c>
      <c r="H65" s="24" t="s">
        <v>146</v>
      </c>
    </row>
    <row r="66" spans="1:8" x14ac:dyDescent="0.2">
      <c r="A66" s="27">
        <v>60</v>
      </c>
      <c r="B66" s="28" t="s">
        <v>125</v>
      </c>
      <c r="C66" s="28" t="s">
        <v>126</v>
      </c>
      <c r="D66" s="28" t="s">
        <v>80</v>
      </c>
      <c r="E66" s="29">
        <v>110100</v>
      </c>
      <c r="F66" s="30">
        <v>353.47604999999999</v>
      </c>
      <c r="G66" s="31">
        <v>2.3629499999999999E-3</v>
      </c>
      <c r="H66" s="24" t="s">
        <v>146</v>
      </c>
    </row>
    <row r="67" spans="1:8" x14ac:dyDescent="0.2">
      <c r="A67" s="27">
        <v>61</v>
      </c>
      <c r="B67" s="28" t="s">
        <v>536</v>
      </c>
      <c r="C67" s="28" t="s">
        <v>537</v>
      </c>
      <c r="D67" s="28" t="s">
        <v>83</v>
      </c>
      <c r="E67" s="29">
        <v>29192</v>
      </c>
      <c r="F67" s="30">
        <v>302.03502800000001</v>
      </c>
      <c r="G67" s="31">
        <v>2.01907E-3</v>
      </c>
      <c r="H67" s="24" t="s">
        <v>146</v>
      </c>
    </row>
    <row r="68" spans="1:8" x14ac:dyDescent="0.2">
      <c r="A68" s="27">
        <v>62</v>
      </c>
      <c r="B68" s="28" t="s">
        <v>199</v>
      </c>
      <c r="C68" s="28" t="s">
        <v>200</v>
      </c>
      <c r="D68" s="28" t="s">
        <v>33</v>
      </c>
      <c r="E68" s="29">
        <v>52200</v>
      </c>
      <c r="F68" s="30">
        <v>290.10149999999999</v>
      </c>
      <c r="G68" s="31">
        <v>1.9392999999999999E-3</v>
      </c>
      <c r="H68" s="24" t="s">
        <v>146</v>
      </c>
    </row>
    <row r="69" spans="1:8" x14ac:dyDescent="0.2">
      <c r="A69" s="27">
        <v>63</v>
      </c>
      <c r="B69" s="28" t="s">
        <v>331</v>
      </c>
      <c r="C69" s="28" t="s">
        <v>332</v>
      </c>
      <c r="D69" s="28" t="s">
        <v>205</v>
      </c>
      <c r="E69" s="29">
        <v>126872</v>
      </c>
      <c r="F69" s="30">
        <v>279.56245200000001</v>
      </c>
      <c r="G69" s="31">
        <v>1.8688400000000001E-3</v>
      </c>
      <c r="H69" s="24" t="s">
        <v>146</v>
      </c>
    </row>
    <row r="70" spans="1:8" x14ac:dyDescent="0.2">
      <c r="A70" s="27">
        <v>64</v>
      </c>
      <c r="B70" s="28" t="s">
        <v>84</v>
      </c>
      <c r="C70" s="28" t="s">
        <v>85</v>
      </c>
      <c r="D70" s="28" t="s">
        <v>42</v>
      </c>
      <c r="E70" s="29">
        <v>25000</v>
      </c>
      <c r="F70" s="30">
        <v>225.86250000000001</v>
      </c>
      <c r="G70" s="31">
        <v>1.50987E-3</v>
      </c>
      <c r="H70" s="24" t="s">
        <v>146</v>
      </c>
    </row>
    <row r="71" spans="1:8" x14ac:dyDescent="0.2">
      <c r="A71" s="27">
        <v>65</v>
      </c>
      <c r="B71" s="28" t="s">
        <v>363</v>
      </c>
      <c r="C71" s="28" t="s">
        <v>364</v>
      </c>
      <c r="D71" s="28" t="s">
        <v>39</v>
      </c>
      <c r="E71" s="29">
        <v>3500</v>
      </c>
      <c r="F71" s="30">
        <v>122.15875</v>
      </c>
      <c r="G71" s="31">
        <v>8.1662E-4</v>
      </c>
      <c r="H71" s="24" t="s">
        <v>146</v>
      </c>
    </row>
    <row r="72" spans="1:8" x14ac:dyDescent="0.2">
      <c r="A72" s="27">
        <v>65</v>
      </c>
      <c r="B72" s="28" t="s">
        <v>665</v>
      </c>
      <c r="C72" s="28" t="s">
        <v>666</v>
      </c>
      <c r="D72" s="28" t="s">
        <v>99</v>
      </c>
      <c r="E72" s="29">
        <v>4400</v>
      </c>
      <c r="F72" s="30">
        <v>60.7134</v>
      </c>
      <c r="G72" s="31">
        <v>4.0586000000000002E-4</v>
      </c>
      <c r="H72" s="24" t="s">
        <v>146</v>
      </c>
    </row>
    <row r="73" spans="1:8" x14ac:dyDescent="0.2">
      <c r="A73" s="25"/>
      <c r="B73" s="25"/>
      <c r="C73" s="26" t="s">
        <v>145</v>
      </c>
      <c r="D73" s="25"/>
      <c r="E73" s="25" t="s">
        <v>146</v>
      </c>
      <c r="F73" s="32">
        <f>SUM(F7:F72)</f>
        <v>107760.04570269996</v>
      </c>
      <c r="G73" s="33">
        <f>SUM(G7:G72)</f>
        <v>0.72036400844776061</v>
      </c>
      <c r="H73" s="24" t="s">
        <v>146</v>
      </c>
    </row>
    <row r="74" spans="1:8" x14ac:dyDescent="0.2">
      <c r="A74" s="25"/>
      <c r="B74" s="25"/>
      <c r="C74" s="34"/>
      <c r="D74" s="25"/>
      <c r="E74" s="25"/>
      <c r="F74" s="35"/>
      <c r="G74" s="35"/>
      <c r="H74" s="24" t="s">
        <v>146</v>
      </c>
    </row>
    <row r="75" spans="1:8" x14ac:dyDescent="0.2">
      <c r="A75" s="25"/>
      <c r="B75" s="25"/>
      <c r="C75" s="26" t="s">
        <v>147</v>
      </c>
      <c r="D75" s="25"/>
      <c r="E75" s="25"/>
      <c r="F75" s="25"/>
      <c r="G75" s="25"/>
      <c r="H75" s="24" t="s">
        <v>146</v>
      </c>
    </row>
    <row r="76" spans="1:8" x14ac:dyDescent="0.2">
      <c r="A76" s="25"/>
      <c r="B76" s="25"/>
      <c r="C76" s="26" t="s">
        <v>145</v>
      </c>
      <c r="D76" s="25"/>
      <c r="E76" s="25" t="s">
        <v>146</v>
      </c>
      <c r="F76" s="36" t="s">
        <v>148</v>
      </c>
      <c r="G76" s="33">
        <v>0</v>
      </c>
      <c r="H76" s="24" t="s">
        <v>146</v>
      </c>
    </row>
    <row r="77" spans="1:8" x14ac:dyDescent="0.2">
      <c r="A77" s="25"/>
      <c r="B77" s="25"/>
      <c r="C77" s="34"/>
      <c r="D77" s="25"/>
      <c r="E77" s="25"/>
      <c r="F77" s="35"/>
      <c r="G77" s="35"/>
      <c r="H77" s="24" t="s">
        <v>146</v>
      </c>
    </row>
    <row r="78" spans="1:8" x14ac:dyDescent="0.2">
      <c r="A78" s="25"/>
      <c r="B78" s="25"/>
      <c r="C78" s="26" t="s">
        <v>149</v>
      </c>
      <c r="D78" s="25"/>
      <c r="E78" s="25"/>
      <c r="F78" s="25"/>
      <c r="G78" s="25"/>
      <c r="H78" s="24" t="s">
        <v>146</v>
      </c>
    </row>
    <row r="79" spans="1:8" x14ac:dyDescent="0.2">
      <c r="A79" s="25"/>
      <c r="B79" s="25"/>
      <c r="C79" s="26" t="s">
        <v>145</v>
      </c>
      <c r="D79" s="25"/>
      <c r="E79" s="25" t="s">
        <v>146</v>
      </c>
      <c r="F79" s="36" t="s">
        <v>148</v>
      </c>
      <c r="G79" s="33">
        <v>0</v>
      </c>
      <c r="H79" s="24" t="s">
        <v>146</v>
      </c>
    </row>
    <row r="80" spans="1:8" x14ac:dyDescent="0.2">
      <c r="A80" s="25"/>
      <c r="B80" s="25"/>
      <c r="C80" s="34"/>
      <c r="D80" s="25"/>
      <c r="E80" s="25"/>
      <c r="F80" s="35"/>
      <c r="G80" s="35"/>
      <c r="H80" s="24" t="s">
        <v>146</v>
      </c>
    </row>
    <row r="81" spans="1:8" x14ac:dyDescent="0.2">
      <c r="A81" s="25"/>
      <c r="B81" s="25"/>
      <c r="C81" s="26" t="s">
        <v>150</v>
      </c>
      <c r="D81" s="25"/>
      <c r="E81" s="25"/>
      <c r="F81" s="25"/>
      <c r="G81" s="25"/>
      <c r="H81" s="24" t="s">
        <v>146</v>
      </c>
    </row>
    <row r="82" spans="1:8" x14ac:dyDescent="0.2">
      <c r="A82" s="25"/>
      <c r="B82" s="25"/>
      <c r="C82" s="26" t="s">
        <v>145</v>
      </c>
      <c r="D82" s="25"/>
      <c r="E82" s="25" t="s">
        <v>146</v>
      </c>
      <c r="F82" s="36" t="s">
        <v>148</v>
      </c>
      <c r="G82" s="33">
        <v>0</v>
      </c>
      <c r="H82" s="24" t="s">
        <v>146</v>
      </c>
    </row>
    <row r="83" spans="1:8" x14ac:dyDescent="0.2">
      <c r="A83" s="25"/>
      <c r="B83" s="25"/>
      <c r="C83" s="34"/>
      <c r="D83" s="25"/>
      <c r="E83" s="25"/>
      <c r="F83" s="35"/>
      <c r="G83" s="35"/>
      <c r="H83" s="24" t="s">
        <v>146</v>
      </c>
    </row>
    <row r="84" spans="1:8" x14ac:dyDescent="0.2">
      <c r="A84" s="25"/>
      <c r="B84" s="25"/>
      <c r="C84" s="26" t="s">
        <v>151</v>
      </c>
      <c r="D84" s="25"/>
      <c r="E84" s="25"/>
      <c r="F84" s="35"/>
      <c r="G84" s="35"/>
      <c r="H84" s="24" t="s">
        <v>146</v>
      </c>
    </row>
    <row r="85" spans="1:8" x14ac:dyDescent="0.2">
      <c r="A85" s="25"/>
      <c r="B85" s="25"/>
      <c r="C85" s="26" t="s">
        <v>145</v>
      </c>
      <c r="D85" s="25"/>
      <c r="E85" s="25" t="s">
        <v>146</v>
      </c>
      <c r="F85" s="36" t="s">
        <v>148</v>
      </c>
      <c r="G85" s="33">
        <v>0</v>
      </c>
      <c r="H85" s="24" t="s">
        <v>146</v>
      </c>
    </row>
    <row r="86" spans="1:8" x14ac:dyDescent="0.2">
      <c r="A86" s="76"/>
      <c r="B86" s="76"/>
      <c r="C86" s="117"/>
      <c r="D86" s="76"/>
      <c r="E86" s="76"/>
      <c r="F86" s="75"/>
      <c r="G86" s="75"/>
      <c r="H86" s="24" t="s">
        <v>146</v>
      </c>
    </row>
    <row r="87" spans="1:8" x14ac:dyDescent="0.2">
      <c r="A87" s="76"/>
      <c r="B87" s="76"/>
      <c r="C87" s="50" t="s">
        <v>887</v>
      </c>
      <c r="D87" s="76"/>
      <c r="E87" s="76"/>
      <c r="F87" s="76"/>
      <c r="G87" s="76"/>
      <c r="H87" s="24" t="s">
        <v>146</v>
      </c>
    </row>
    <row r="88" spans="1:8" ht="25.5" x14ac:dyDescent="0.2">
      <c r="A88" s="79">
        <v>1</v>
      </c>
      <c r="B88" s="37" t="s">
        <v>888</v>
      </c>
      <c r="C88" s="37" t="s">
        <v>889</v>
      </c>
      <c r="D88" s="37" t="s">
        <v>890</v>
      </c>
      <c r="E88" s="80">
        <v>750</v>
      </c>
      <c r="F88" s="81">
        <f>79745735.85/10^5</f>
        <v>797.45735849999994</v>
      </c>
      <c r="G88" s="82">
        <f>F88/F174</f>
        <v>5.3309142931794286E-3</v>
      </c>
      <c r="H88" s="24">
        <v>8.2899999999999991</v>
      </c>
    </row>
    <row r="89" spans="1:8" x14ac:dyDescent="0.2">
      <c r="A89" s="76"/>
      <c r="B89" s="76"/>
      <c r="C89" s="50" t="s">
        <v>145</v>
      </c>
      <c r="D89" s="76"/>
      <c r="E89" s="76" t="s">
        <v>146</v>
      </c>
      <c r="F89" s="83">
        <f>SUM(F88)</f>
        <v>797.45735849999994</v>
      </c>
      <c r="G89" s="78">
        <f>SUM(G88)</f>
        <v>5.3309142931794286E-3</v>
      </c>
      <c r="H89" s="24" t="s">
        <v>146</v>
      </c>
    </row>
    <row r="90" spans="1:8" x14ac:dyDescent="0.2">
      <c r="A90" s="25"/>
      <c r="B90" s="25"/>
      <c r="C90" s="34"/>
      <c r="D90" s="25"/>
      <c r="E90" s="25"/>
      <c r="F90" s="35"/>
      <c r="G90" s="35"/>
      <c r="H90" s="24" t="s">
        <v>146</v>
      </c>
    </row>
    <row r="91" spans="1:8" x14ac:dyDescent="0.2">
      <c r="A91" s="25"/>
      <c r="B91" s="25"/>
      <c r="C91" s="26" t="s">
        <v>152</v>
      </c>
      <c r="D91" s="25"/>
      <c r="E91" s="25"/>
      <c r="F91" s="35"/>
      <c r="G91" s="35"/>
      <c r="H91" s="24" t="s">
        <v>146</v>
      </c>
    </row>
    <row r="92" spans="1:8" x14ac:dyDescent="0.2">
      <c r="A92" s="27">
        <v>1</v>
      </c>
      <c r="B92" s="28"/>
      <c r="C92" s="28" t="s">
        <v>967</v>
      </c>
      <c r="D92" s="28" t="s">
        <v>519</v>
      </c>
      <c r="E92" s="29">
        <v>-4400</v>
      </c>
      <c r="F92" s="30">
        <v>-60.359200000000001</v>
      </c>
      <c r="G92" s="31">
        <f>F92/$F$174</f>
        <v>-4.0349458008653611E-4</v>
      </c>
      <c r="H92" s="24" t="s">
        <v>146</v>
      </c>
    </row>
    <row r="93" spans="1:8" x14ac:dyDescent="0.2">
      <c r="A93" s="27">
        <v>2</v>
      </c>
      <c r="B93" s="28"/>
      <c r="C93" s="28" t="s">
        <v>930</v>
      </c>
      <c r="D93" s="28" t="s">
        <v>519</v>
      </c>
      <c r="E93" s="29">
        <v>-3500</v>
      </c>
      <c r="F93" s="30">
        <v>-122.78</v>
      </c>
      <c r="G93" s="31">
        <f t="shared" ref="G93:G108" si="0">F93/$F$174</f>
        <v>-8.2077072829038326E-4</v>
      </c>
      <c r="H93" s="24" t="s">
        <v>146</v>
      </c>
    </row>
    <row r="94" spans="1:8" x14ac:dyDescent="0.2">
      <c r="A94" s="27">
        <v>3</v>
      </c>
      <c r="B94" s="28"/>
      <c r="C94" s="28" t="s">
        <v>968</v>
      </c>
      <c r="D94" s="28" t="s">
        <v>519</v>
      </c>
      <c r="E94" s="29">
        <v>-70500</v>
      </c>
      <c r="F94" s="30">
        <v>-125.4759</v>
      </c>
      <c r="G94" s="31">
        <f t="shared" si="0"/>
        <v>-8.387925217941953E-4</v>
      </c>
      <c r="H94" s="24" t="s">
        <v>146</v>
      </c>
    </row>
    <row r="95" spans="1:8" x14ac:dyDescent="0.2">
      <c r="A95" s="27">
        <v>4</v>
      </c>
      <c r="B95" s="28"/>
      <c r="C95" s="28" t="s">
        <v>954</v>
      </c>
      <c r="D95" s="28" t="s">
        <v>519</v>
      </c>
      <c r="E95" s="29">
        <v>-25625</v>
      </c>
      <c r="F95" s="30">
        <v>-253.80281249999999</v>
      </c>
      <c r="G95" s="31">
        <f t="shared" si="0"/>
        <v>-1.6966437470090617E-3</v>
      </c>
      <c r="H95" s="24" t="s">
        <v>146</v>
      </c>
    </row>
    <row r="96" spans="1:8" x14ac:dyDescent="0.2">
      <c r="A96" s="27">
        <v>5</v>
      </c>
      <c r="B96" s="28"/>
      <c r="C96" s="28" t="s">
        <v>957</v>
      </c>
      <c r="D96" s="28" t="s">
        <v>519</v>
      </c>
      <c r="E96" s="29">
        <v>-62700</v>
      </c>
      <c r="F96" s="30">
        <v>-451.00110000000001</v>
      </c>
      <c r="G96" s="31">
        <f t="shared" si="0"/>
        <v>-3.0148925012767878E-3</v>
      </c>
      <c r="H96" s="24" t="s">
        <v>146</v>
      </c>
    </row>
    <row r="97" spans="1:8" x14ac:dyDescent="0.2">
      <c r="A97" s="27">
        <v>6</v>
      </c>
      <c r="B97" s="28"/>
      <c r="C97" s="28" t="s">
        <v>948</v>
      </c>
      <c r="D97" s="28" t="s">
        <v>519</v>
      </c>
      <c r="E97" s="29">
        <v>-98000</v>
      </c>
      <c r="F97" s="30">
        <v>-585.50099999999998</v>
      </c>
      <c r="G97" s="31">
        <f t="shared" si="0"/>
        <v>-3.914009465586803E-3</v>
      </c>
      <c r="H97" s="24" t="s">
        <v>146</v>
      </c>
    </row>
    <row r="98" spans="1:8" x14ac:dyDescent="0.2">
      <c r="A98" s="27">
        <v>7</v>
      </c>
      <c r="B98" s="28"/>
      <c r="C98" s="28" t="s">
        <v>969</v>
      </c>
      <c r="D98" s="28" t="s">
        <v>519</v>
      </c>
      <c r="E98" s="29">
        <v>-40400</v>
      </c>
      <c r="F98" s="30">
        <v>-762.79240000000004</v>
      </c>
      <c r="G98" s="31">
        <f t="shared" si="0"/>
        <v>-5.0991828773608843E-3</v>
      </c>
      <c r="H98" s="24" t="s">
        <v>146</v>
      </c>
    </row>
    <row r="99" spans="1:8" x14ac:dyDescent="0.2">
      <c r="A99" s="27">
        <v>8</v>
      </c>
      <c r="B99" s="28"/>
      <c r="C99" s="28" t="s">
        <v>928</v>
      </c>
      <c r="D99" s="28" t="s">
        <v>519</v>
      </c>
      <c r="E99" s="29">
        <v>-76000</v>
      </c>
      <c r="F99" s="30">
        <v>-1327.3779999999999</v>
      </c>
      <c r="G99" s="31">
        <f t="shared" si="0"/>
        <v>-8.8733752058692984E-3</v>
      </c>
      <c r="H99" s="24" t="s">
        <v>146</v>
      </c>
    </row>
    <row r="100" spans="1:8" x14ac:dyDescent="0.2">
      <c r="A100" s="27">
        <v>9</v>
      </c>
      <c r="B100" s="28"/>
      <c r="C100" s="28" t="s">
        <v>944</v>
      </c>
      <c r="D100" s="28" t="s">
        <v>519</v>
      </c>
      <c r="E100" s="29">
        <v>-17250</v>
      </c>
      <c r="F100" s="30">
        <v>-1368.08025</v>
      </c>
      <c r="G100" s="31">
        <f t="shared" si="0"/>
        <v>-9.1454652480223945E-3</v>
      </c>
      <c r="H100" s="24" t="s">
        <v>146</v>
      </c>
    </row>
    <row r="101" spans="1:8" x14ac:dyDescent="0.2">
      <c r="A101" s="27">
        <v>10</v>
      </c>
      <c r="B101" s="28"/>
      <c r="C101" s="28" t="s">
        <v>936</v>
      </c>
      <c r="D101" s="28" t="s">
        <v>519</v>
      </c>
      <c r="E101" s="29">
        <v>-1917000</v>
      </c>
      <c r="F101" s="30">
        <v>-1793.9286</v>
      </c>
      <c r="G101" s="31">
        <f t="shared" si="0"/>
        <v>-1.1992214395853948E-2</v>
      </c>
      <c r="H101" s="24" t="s">
        <v>146</v>
      </c>
    </row>
    <row r="102" spans="1:8" x14ac:dyDescent="0.2">
      <c r="A102" s="27">
        <v>11</v>
      </c>
      <c r="B102" s="28"/>
      <c r="C102" s="28" t="s">
        <v>940</v>
      </c>
      <c r="D102" s="28" t="s">
        <v>519</v>
      </c>
      <c r="E102" s="29">
        <v>-128700</v>
      </c>
      <c r="F102" s="30">
        <v>-1913.06115</v>
      </c>
      <c r="G102" s="31">
        <f t="shared" si="0"/>
        <v>-1.2788602324071821E-2</v>
      </c>
      <c r="H102" s="24" t="s">
        <v>146</v>
      </c>
    </row>
    <row r="103" spans="1:8" x14ac:dyDescent="0.2">
      <c r="A103" s="27">
        <v>12</v>
      </c>
      <c r="B103" s="28"/>
      <c r="C103" s="28" t="s">
        <v>943</v>
      </c>
      <c r="D103" s="28" t="s">
        <v>519</v>
      </c>
      <c r="E103" s="29">
        <v>-930150</v>
      </c>
      <c r="F103" s="30">
        <v>-1991.1721050000001</v>
      </c>
      <c r="G103" s="31">
        <f t="shared" si="0"/>
        <v>-1.3310765424110976E-2</v>
      </c>
      <c r="H103" s="24" t="s">
        <v>146</v>
      </c>
    </row>
    <row r="104" spans="1:8" x14ac:dyDescent="0.2">
      <c r="A104" s="27">
        <v>13</v>
      </c>
      <c r="B104" s="28"/>
      <c r="C104" s="28" t="s">
        <v>961</v>
      </c>
      <c r="D104" s="28" t="s">
        <v>519</v>
      </c>
      <c r="E104" s="29">
        <v>-161000</v>
      </c>
      <c r="F104" s="30">
        <v>-2044.7805000000001</v>
      </c>
      <c r="G104" s="31">
        <f t="shared" si="0"/>
        <v>-1.3669131618984967E-2</v>
      </c>
      <c r="H104" s="24" t="s">
        <v>146</v>
      </c>
    </row>
    <row r="105" spans="1:8" x14ac:dyDescent="0.2">
      <c r="A105" s="27">
        <v>14</v>
      </c>
      <c r="B105" s="28"/>
      <c r="C105" s="28" t="s">
        <v>945</v>
      </c>
      <c r="D105" s="28" t="s">
        <v>519</v>
      </c>
      <c r="E105" s="29">
        <v>-126350</v>
      </c>
      <c r="F105" s="30">
        <v>-2064.116775</v>
      </c>
      <c r="G105" s="31">
        <f t="shared" si="0"/>
        <v>-1.3798392479989796E-2</v>
      </c>
      <c r="H105" s="24" t="s">
        <v>146</v>
      </c>
    </row>
    <row r="106" spans="1:8" x14ac:dyDescent="0.2">
      <c r="A106" s="27">
        <v>15</v>
      </c>
      <c r="B106" s="28"/>
      <c r="C106" s="28" t="s">
        <v>941</v>
      </c>
      <c r="D106" s="28" t="s">
        <v>519</v>
      </c>
      <c r="E106" s="29">
        <v>-111600</v>
      </c>
      <c r="F106" s="30">
        <v>-2132.8434000000002</v>
      </c>
      <c r="G106" s="31">
        <f t="shared" si="0"/>
        <v>-1.4257822371292861E-2</v>
      </c>
      <c r="H106" s="24" t="s">
        <v>146</v>
      </c>
    </row>
    <row r="107" spans="1:8" x14ac:dyDescent="0.2">
      <c r="A107" s="27">
        <v>16</v>
      </c>
      <c r="B107" s="28"/>
      <c r="C107" s="28" t="s">
        <v>932</v>
      </c>
      <c r="D107" s="28" t="s">
        <v>519</v>
      </c>
      <c r="E107" s="29">
        <v>-73850</v>
      </c>
      <c r="F107" s="30">
        <v>-2220.9279750000001</v>
      </c>
      <c r="G107" s="31">
        <f t="shared" si="0"/>
        <v>-1.4846658018579869E-2</v>
      </c>
      <c r="H107" s="24" t="s">
        <v>146</v>
      </c>
    </row>
    <row r="108" spans="1:8" x14ac:dyDescent="0.2">
      <c r="A108" s="27">
        <v>17</v>
      </c>
      <c r="B108" s="28"/>
      <c r="C108" s="28" t="s">
        <v>949</v>
      </c>
      <c r="D108" s="28" t="s">
        <v>519</v>
      </c>
      <c r="E108" s="29">
        <v>-289000</v>
      </c>
      <c r="F108" s="30">
        <v>-2884.22</v>
      </c>
      <c r="G108" s="31">
        <f t="shared" si="0"/>
        <v>-1.9280691887519866E-2</v>
      </c>
      <c r="H108" s="24" t="s">
        <v>146</v>
      </c>
    </row>
    <row r="109" spans="1:8" x14ac:dyDescent="0.2">
      <c r="A109" s="25"/>
      <c r="B109" s="25"/>
      <c r="C109" s="26" t="s">
        <v>145</v>
      </c>
      <c r="D109" s="25"/>
      <c r="E109" s="25" t="s">
        <v>146</v>
      </c>
      <c r="F109" s="32">
        <v>-22102.2211675</v>
      </c>
      <c r="G109" s="33">
        <v>-0.14775089999999999</v>
      </c>
      <c r="H109" s="24" t="s">
        <v>146</v>
      </c>
    </row>
    <row r="110" spans="1:8" x14ac:dyDescent="0.2">
      <c r="A110" s="25"/>
      <c r="B110" s="25"/>
      <c r="C110" s="34"/>
      <c r="D110" s="25"/>
      <c r="E110" s="25"/>
      <c r="F110" s="35"/>
      <c r="G110" s="35"/>
      <c r="H110" s="24" t="s">
        <v>146</v>
      </c>
    </row>
    <row r="111" spans="1:8" x14ac:dyDescent="0.2">
      <c r="A111" s="25"/>
      <c r="B111" s="25"/>
      <c r="C111" s="26" t="s">
        <v>153</v>
      </c>
      <c r="D111" s="25"/>
      <c r="E111" s="25"/>
      <c r="F111" s="32">
        <f>F73+F89</f>
        <v>108557.50306119997</v>
      </c>
      <c r="G111" s="33">
        <f>G73+G89</f>
        <v>0.72569492274094005</v>
      </c>
      <c r="H111" s="24" t="s">
        <v>146</v>
      </c>
    </row>
    <row r="112" spans="1:8" x14ac:dyDescent="0.2">
      <c r="A112" s="25"/>
      <c r="B112" s="25"/>
      <c r="C112" s="34"/>
      <c r="D112" s="25"/>
      <c r="E112" s="25"/>
      <c r="F112" s="35"/>
      <c r="G112" s="35"/>
      <c r="H112" s="24" t="s">
        <v>146</v>
      </c>
    </row>
    <row r="113" spans="1:8" x14ac:dyDescent="0.2">
      <c r="A113" s="25"/>
      <c r="B113" s="25"/>
      <c r="C113" s="26" t="s">
        <v>154</v>
      </c>
      <c r="D113" s="25"/>
      <c r="E113" s="25"/>
      <c r="F113" s="35"/>
      <c r="G113" s="35"/>
      <c r="H113" s="24" t="s">
        <v>146</v>
      </c>
    </row>
    <row r="114" spans="1:8" x14ac:dyDescent="0.2">
      <c r="A114" s="25"/>
      <c r="B114" s="25"/>
      <c r="C114" s="26" t="s">
        <v>10</v>
      </c>
      <c r="D114" s="25"/>
      <c r="E114" s="25"/>
      <c r="F114" s="35"/>
      <c r="G114" s="35"/>
      <c r="H114" s="24" t="s">
        <v>146</v>
      </c>
    </row>
    <row r="115" spans="1:8" x14ac:dyDescent="0.2">
      <c r="A115" s="27">
        <v>1</v>
      </c>
      <c r="B115" s="28" t="s">
        <v>667</v>
      </c>
      <c r="C115" s="28" t="s">
        <v>668</v>
      </c>
      <c r="D115" s="28" t="s">
        <v>543</v>
      </c>
      <c r="E115" s="29">
        <v>2500</v>
      </c>
      <c r="F115" s="30">
        <v>2515.9974999999999</v>
      </c>
      <c r="G115" s="31">
        <v>1.6819170000000001E-2</v>
      </c>
      <c r="H115" s="24">
        <v>7.3849999999999998</v>
      </c>
    </row>
    <row r="116" spans="1:8" ht="25.5" x14ac:dyDescent="0.2">
      <c r="A116" s="27">
        <v>2</v>
      </c>
      <c r="B116" s="28" t="s">
        <v>556</v>
      </c>
      <c r="C116" s="28" t="s">
        <v>557</v>
      </c>
      <c r="D116" s="28" t="s">
        <v>546</v>
      </c>
      <c r="E116" s="29">
        <v>150</v>
      </c>
      <c r="F116" s="30">
        <v>1542.5595000000001</v>
      </c>
      <c r="G116" s="31">
        <v>1.0311839999999999E-2</v>
      </c>
      <c r="H116" s="24">
        <v>7.54</v>
      </c>
    </row>
    <row r="117" spans="1:8" ht="25.5" x14ac:dyDescent="0.2">
      <c r="A117" s="27">
        <v>3</v>
      </c>
      <c r="B117" s="28" t="s">
        <v>564</v>
      </c>
      <c r="C117" s="28" t="s">
        <v>565</v>
      </c>
      <c r="D117" s="28" t="s">
        <v>543</v>
      </c>
      <c r="E117" s="29">
        <v>1500</v>
      </c>
      <c r="F117" s="30">
        <v>1504.2329999999999</v>
      </c>
      <c r="G117" s="31">
        <v>1.0055629999999999E-2</v>
      </c>
      <c r="H117" s="24">
        <v>7.5033000000000003</v>
      </c>
    </row>
    <row r="118" spans="1:8" ht="25.5" x14ac:dyDescent="0.2">
      <c r="A118" s="27">
        <v>4</v>
      </c>
      <c r="B118" s="28" t="s">
        <v>544</v>
      </c>
      <c r="C118" s="28" t="s">
        <v>545</v>
      </c>
      <c r="D118" s="28" t="s">
        <v>546</v>
      </c>
      <c r="E118" s="29">
        <v>1500</v>
      </c>
      <c r="F118" s="30">
        <v>1497.933</v>
      </c>
      <c r="G118" s="31">
        <v>1.001352E-2</v>
      </c>
      <c r="H118" s="24">
        <v>7.63</v>
      </c>
    </row>
    <row r="119" spans="1:8" ht="25.5" x14ac:dyDescent="0.2">
      <c r="A119" s="27">
        <v>5</v>
      </c>
      <c r="B119" s="28" t="s">
        <v>581</v>
      </c>
      <c r="C119" s="28" t="s">
        <v>582</v>
      </c>
      <c r="D119" s="28" t="s">
        <v>546</v>
      </c>
      <c r="E119" s="29">
        <v>1000</v>
      </c>
      <c r="F119" s="30">
        <v>1048.0029999999999</v>
      </c>
      <c r="G119" s="31">
        <v>7.0057799999999996E-3</v>
      </c>
      <c r="H119" s="24">
        <v>7.1623000000000001</v>
      </c>
    </row>
    <row r="120" spans="1:8" ht="25.5" x14ac:dyDescent="0.2">
      <c r="A120" s="27">
        <v>6</v>
      </c>
      <c r="B120" s="28" t="s">
        <v>583</v>
      </c>
      <c r="C120" s="28" t="s">
        <v>584</v>
      </c>
      <c r="D120" s="28" t="s">
        <v>546</v>
      </c>
      <c r="E120" s="29">
        <v>1000</v>
      </c>
      <c r="F120" s="30">
        <v>1022.62</v>
      </c>
      <c r="G120" s="31">
        <v>6.8361000000000003E-3</v>
      </c>
      <c r="H120" s="24">
        <v>7.415</v>
      </c>
    </row>
    <row r="121" spans="1:8" x14ac:dyDescent="0.2">
      <c r="A121" s="27">
        <v>7</v>
      </c>
      <c r="B121" s="28" t="s">
        <v>669</v>
      </c>
      <c r="C121" s="28" t="s">
        <v>670</v>
      </c>
      <c r="D121" s="28" t="s">
        <v>546</v>
      </c>
      <c r="E121" s="29">
        <v>100</v>
      </c>
      <c r="F121" s="30">
        <v>999.04200000000003</v>
      </c>
      <c r="G121" s="31">
        <v>6.6784899999999996E-3</v>
      </c>
      <c r="H121" s="24">
        <v>7.835</v>
      </c>
    </row>
    <row r="122" spans="1:8" x14ac:dyDescent="0.2">
      <c r="A122" s="27">
        <v>8</v>
      </c>
      <c r="B122" s="28" t="s">
        <v>604</v>
      </c>
      <c r="C122" s="28" t="s">
        <v>605</v>
      </c>
      <c r="D122" s="28" t="s">
        <v>546</v>
      </c>
      <c r="E122" s="29">
        <v>1000</v>
      </c>
      <c r="F122" s="30">
        <v>998.01800000000003</v>
      </c>
      <c r="G122" s="31">
        <v>6.6716400000000004E-3</v>
      </c>
      <c r="H122" s="24">
        <v>7.6050000000000004</v>
      </c>
    </row>
    <row r="123" spans="1:8" x14ac:dyDescent="0.2">
      <c r="A123" s="27">
        <v>9</v>
      </c>
      <c r="B123" s="28" t="s">
        <v>597</v>
      </c>
      <c r="C123" s="28" t="s">
        <v>598</v>
      </c>
      <c r="D123" s="28" t="s">
        <v>546</v>
      </c>
      <c r="E123" s="29">
        <v>50</v>
      </c>
      <c r="F123" s="30">
        <v>488.303</v>
      </c>
      <c r="G123" s="31">
        <v>3.2642499999999998E-3</v>
      </c>
      <c r="H123" s="24">
        <v>7.7549999999999999</v>
      </c>
    </row>
    <row r="124" spans="1:8" x14ac:dyDescent="0.2">
      <c r="A124" s="25"/>
      <c r="B124" s="25"/>
      <c r="C124" s="26" t="s">
        <v>145</v>
      </c>
      <c r="D124" s="25"/>
      <c r="E124" s="25" t="s">
        <v>146</v>
      </c>
      <c r="F124" s="32">
        <v>11616.709000000001</v>
      </c>
      <c r="G124" s="33">
        <v>7.7656420000000004E-2</v>
      </c>
      <c r="H124" s="24" t="s">
        <v>146</v>
      </c>
    </row>
    <row r="125" spans="1:8" x14ac:dyDescent="0.2">
      <c r="A125" s="25"/>
      <c r="B125" s="25"/>
      <c r="C125" s="34"/>
      <c r="D125" s="25"/>
      <c r="E125" s="25"/>
      <c r="F125" s="35"/>
      <c r="G125" s="35"/>
      <c r="H125" s="24" t="s">
        <v>146</v>
      </c>
    </row>
    <row r="126" spans="1:8" x14ac:dyDescent="0.2">
      <c r="A126" s="25"/>
      <c r="B126" s="25"/>
      <c r="C126" s="26" t="s">
        <v>155</v>
      </c>
      <c r="D126" s="25"/>
      <c r="E126" s="25"/>
      <c r="F126" s="25"/>
      <c r="G126" s="25"/>
      <c r="H126" s="24" t="s">
        <v>146</v>
      </c>
    </row>
    <row r="127" spans="1:8" x14ac:dyDescent="0.2">
      <c r="A127" s="25"/>
      <c r="B127" s="25"/>
      <c r="C127" s="26" t="s">
        <v>145</v>
      </c>
      <c r="D127" s="25"/>
      <c r="E127" s="25" t="s">
        <v>146</v>
      </c>
      <c r="F127" s="36" t="s">
        <v>148</v>
      </c>
      <c r="G127" s="33">
        <v>0</v>
      </c>
      <c r="H127" s="24" t="s">
        <v>146</v>
      </c>
    </row>
    <row r="128" spans="1:8" x14ac:dyDescent="0.2">
      <c r="A128" s="25"/>
      <c r="B128" s="25"/>
      <c r="C128" s="34"/>
      <c r="D128" s="25"/>
      <c r="E128" s="25"/>
      <c r="F128" s="35"/>
      <c r="G128" s="35"/>
      <c r="H128" s="24" t="s">
        <v>146</v>
      </c>
    </row>
    <row r="129" spans="1:8" x14ac:dyDescent="0.2">
      <c r="A129" s="25"/>
      <c r="B129" s="25"/>
      <c r="C129" s="26" t="s">
        <v>156</v>
      </c>
      <c r="D129" s="25"/>
      <c r="E129" s="25"/>
      <c r="F129" s="25"/>
      <c r="G129" s="25"/>
      <c r="H129" s="24" t="s">
        <v>146</v>
      </c>
    </row>
    <row r="130" spans="1:8" ht="25.5" x14ac:dyDescent="0.2">
      <c r="A130" s="27">
        <v>1</v>
      </c>
      <c r="B130" s="28" t="s">
        <v>610</v>
      </c>
      <c r="C130" s="28" t="s">
        <v>1087</v>
      </c>
      <c r="D130" s="28" t="s">
        <v>521</v>
      </c>
      <c r="E130" s="29">
        <v>8500000</v>
      </c>
      <c r="F130" s="30">
        <v>8704.5439999999999</v>
      </c>
      <c r="G130" s="31">
        <v>5.8188910000000003E-2</v>
      </c>
      <c r="H130" s="24">
        <v>6.8559999999999999</v>
      </c>
    </row>
    <row r="131" spans="1:8" ht="25.5" x14ac:dyDescent="0.2">
      <c r="A131" s="27">
        <v>2</v>
      </c>
      <c r="B131" s="28" t="s">
        <v>612</v>
      </c>
      <c r="C131" s="28" t="s">
        <v>1079</v>
      </c>
      <c r="D131" s="28" t="s">
        <v>521</v>
      </c>
      <c r="E131" s="29">
        <v>3000000</v>
      </c>
      <c r="F131" s="30">
        <v>3106.0320000000002</v>
      </c>
      <c r="G131" s="31">
        <v>2.0763480000000001E-2</v>
      </c>
      <c r="H131" s="24">
        <v>6.9523999999999999</v>
      </c>
    </row>
    <row r="132" spans="1:8" x14ac:dyDescent="0.2">
      <c r="A132" s="27">
        <v>3</v>
      </c>
      <c r="B132" s="28" t="s">
        <v>671</v>
      </c>
      <c r="C132" s="28" t="s">
        <v>1086</v>
      </c>
      <c r="D132" s="28" t="s">
        <v>521</v>
      </c>
      <c r="E132" s="29">
        <v>3000000</v>
      </c>
      <c r="F132" s="30">
        <v>3091.134</v>
      </c>
      <c r="G132" s="31">
        <v>2.0663890000000001E-2</v>
      </c>
      <c r="H132" s="24">
        <v>6.7865000000000002</v>
      </c>
    </row>
    <row r="133" spans="1:8" ht="25.5" x14ac:dyDescent="0.2">
      <c r="A133" s="27">
        <v>4</v>
      </c>
      <c r="B133" s="28" t="s">
        <v>658</v>
      </c>
      <c r="C133" s="28" t="s">
        <v>659</v>
      </c>
      <c r="D133" s="28" t="s">
        <v>521</v>
      </c>
      <c r="E133" s="29">
        <v>3000000</v>
      </c>
      <c r="F133" s="30">
        <v>3050.4029999999998</v>
      </c>
      <c r="G133" s="31">
        <v>2.0391610000000001E-2</v>
      </c>
      <c r="H133" s="24">
        <v>6.7115999999999998</v>
      </c>
    </row>
    <row r="134" spans="1:8" ht="25.5" x14ac:dyDescent="0.2">
      <c r="A134" s="27">
        <v>5</v>
      </c>
      <c r="B134" s="28" t="s">
        <v>615</v>
      </c>
      <c r="C134" s="28" t="s">
        <v>616</v>
      </c>
      <c r="D134" s="28" t="s">
        <v>521</v>
      </c>
      <c r="E134" s="29">
        <v>1500000</v>
      </c>
      <c r="F134" s="30">
        <v>1557.5775000000001</v>
      </c>
      <c r="G134" s="31">
        <v>1.041223E-2</v>
      </c>
      <c r="H134" s="24">
        <v>7.1733000000000002</v>
      </c>
    </row>
    <row r="135" spans="1:8" x14ac:dyDescent="0.2">
      <c r="A135" s="27">
        <v>6</v>
      </c>
      <c r="B135" s="28" t="s">
        <v>672</v>
      </c>
      <c r="C135" s="28" t="s">
        <v>673</v>
      </c>
      <c r="D135" s="28" t="s">
        <v>521</v>
      </c>
      <c r="E135" s="29">
        <v>1000000</v>
      </c>
      <c r="F135" s="30">
        <v>1021.6180000000001</v>
      </c>
      <c r="G135" s="31">
        <v>6.8294000000000002E-3</v>
      </c>
      <c r="H135" s="24">
        <v>6.78</v>
      </c>
    </row>
    <row r="136" spans="1:8" ht="25.5" x14ac:dyDescent="0.2">
      <c r="A136" s="27">
        <v>7</v>
      </c>
      <c r="B136" s="28" t="s">
        <v>623</v>
      </c>
      <c r="C136" s="28" t="s">
        <v>624</v>
      </c>
      <c r="D136" s="28" t="s">
        <v>521</v>
      </c>
      <c r="E136" s="29">
        <v>500000</v>
      </c>
      <c r="F136" s="30">
        <v>511.52800000000002</v>
      </c>
      <c r="G136" s="31">
        <v>3.4195100000000002E-3</v>
      </c>
      <c r="H136" s="24">
        <v>7.2165999999999997</v>
      </c>
    </row>
    <row r="137" spans="1:8" ht="25.5" x14ac:dyDescent="0.2">
      <c r="A137" s="27">
        <v>8</v>
      </c>
      <c r="B137" s="28" t="s">
        <v>622</v>
      </c>
      <c r="C137" s="37" t="s">
        <v>891</v>
      </c>
      <c r="D137" s="28" t="s">
        <v>521</v>
      </c>
      <c r="E137" s="29">
        <v>500000</v>
      </c>
      <c r="F137" s="30">
        <v>502.00749999999999</v>
      </c>
      <c r="G137" s="31">
        <v>3.3558699999999999E-3</v>
      </c>
      <c r="H137" s="24">
        <v>7.1029637846147855</v>
      </c>
    </row>
    <row r="138" spans="1:8" x14ac:dyDescent="0.2">
      <c r="A138" s="25"/>
      <c r="B138" s="25"/>
      <c r="C138" s="26" t="s">
        <v>145</v>
      </c>
      <c r="D138" s="25"/>
      <c r="E138" s="25" t="s">
        <v>146</v>
      </c>
      <c r="F138" s="32">
        <v>21544.844000000001</v>
      </c>
      <c r="G138" s="33">
        <v>0.14402490000000001</v>
      </c>
      <c r="H138" s="24" t="s">
        <v>146</v>
      </c>
    </row>
    <row r="139" spans="1:8" x14ac:dyDescent="0.2">
      <c r="A139" s="25"/>
      <c r="B139" s="25"/>
      <c r="C139" s="34"/>
      <c r="D139" s="25"/>
      <c r="E139" s="25"/>
      <c r="F139" s="35"/>
      <c r="G139" s="35"/>
      <c r="H139" s="24" t="s">
        <v>146</v>
      </c>
    </row>
    <row r="140" spans="1:8" x14ac:dyDescent="0.2">
      <c r="A140" s="25"/>
      <c r="B140" s="25"/>
      <c r="C140" s="26" t="s">
        <v>157</v>
      </c>
      <c r="D140" s="25"/>
      <c r="E140" s="25"/>
      <c r="F140" s="35"/>
      <c r="G140" s="35"/>
      <c r="H140" s="24" t="s">
        <v>146</v>
      </c>
    </row>
    <row r="141" spans="1:8" x14ac:dyDescent="0.2">
      <c r="A141" s="25"/>
      <c r="B141" s="25"/>
      <c r="C141" s="26" t="s">
        <v>145</v>
      </c>
      <c r="D141" s="25"/>
      <c r="E141" s="25" t="s">
        <v>146</v>
      </c>
      <c r="F141" s="36" t="s">
        <v>148</v>
      </c>
      <c r="G141" s="33">
        <v>0</v>
      </c>
      <c r="H141" s="24" t="s">
        <v>146</v>
      </c>
    </row>
    <row r="142" spans="1:8" x14ac:dyDescent="0.2">
      <c r="A142" s="25"/>
      <c r="B142" s="25"/>
      <c r="C142" s="34"/>
      <c r="D142" s="25"/>
      <c r="E142" s="25"/>
      <c r="F142" s="35"/>
      <c r="G142" s="35"/>
      <c r="H142" s="24" t="s">
        <v>146</v>
      </c>
    </row>
    <row r="143" spans="1:8" x14ac:dyDescent="0.2">
      <c r="A143" s="25"/>
      <c r="B143" s="25"/>
      <c r="C143" s="26" t="s">
        <v>158</v>
      </c>
      <c r="D143" s="25"/>
      <c r="E143" s="25"/>
      <c r="F143" s="32">
        <v>33161.553</v>
      </c>
      <c r="G143" s="33">
        <v>0.22168131999999999</v>
      </c>
      <c r="H143" s="24" t="s">
        <v>146</v>
      </c>
    </row>
    <row r="144" spans="1:8" x14ac:dyDescent="0.2">
      <c r="A144" s="25"/>
      <c r="B144" s="25"/>
      <c r="C144" s="34"/>
      <c r="D144" s="25"/>
      <c r="E144" s="25"/>
      <c r="F144" s="35"/>
      <c r="G144" s="35"/>
      <c r="H144" s="24" t="s">
        <v>146</v>
      </c>
    </row>
    <row r="145" spans="1:8" x14ac:dyDescent="0.2">
      <c r="A145" s="25"/>
      <c r="B145" s="25"/>
      <c r="C145" s="26" t="s">
        <v>159</v>
      </c>
      <c r="D145" s="25"/>
      <c r="E145" s="25"/>
      <c r="F145" s="35"/>
      <c r="G145" s="35"/>
      <c r="H145" s="24" t="s">
        <v>146</v>
      </c>
    </row>
    <row r="146" spans="1:8" x14ac:dyDescent="0.2">
      <c r="A146" s="25"/>
      <c r="B146" s="25"/>
      <c r="C146" s="26" t="s">
        <v>160</v>
      </c>
      <c r="D146" s="25"/>
      <c r="E146" s="25"/>
      <c r="F146" s="35"/>
      <c r="G146" s="35"/>
      <c r="H146" s="24" t="s">
        <v>146</v>
      </c>
    </row>
    <row r="147" spans="1:8" x14ac:dyDescent="0.2">
      <c r="A147" s="25"/>
      <c r="B147" s="25"/>
      <c r="C147" s="26" t="s">
        <v>145</v>
      </c>
      <c r="D147" s="25"/>
      <c r="E147" s="25" t="s">
        <v>146</v>
      </c>
      <c r="F147" s="36" t="s">
        <v>148</v>
      </c>
      <c r="G147" s="33">
        <v>0</v>
      </c>
      <c r="H147" s="24" t="s">
        <v>146</v>
      </c>
    </row>
    <row r="148" spans="1:8" x14ac:dyDescent="0.2">
      <c r="A148" s="25"/>
      <c r="B148" s="25"/>
      <c r="C148" s="34"/>
      <c r="D148" s="25"/>
      <c r="E148" s="25"/>
      <c r="F148" s="35"/>
      <c r="G148" s="35"/>
      <c r="H148" s="24" t="s">
        <v>146</v>
      </c>
    </row>
    <row r="149" spans="1:8" x14ac:dyDescent="0.2">
      <c r="A149" s="25"/>
      <c r="B149" s="25"/>
      <c r="C149" s="26" t="s">
        <v>161</v>
      </c>
      <c r="D149" s="25"/>
      <c r="E149" s="25"/>
      <c r="F149" s="35"/>
      <c r="G149" s="35"/>
      <c r="H149" s="24" t="s">
        <v>146</v>
      </c>
    </row>
    <row r="150" spans="1:8" x14ac:dyDescent="0.2">
      <c r="A150" s="25"/>
      <c r="B150" s="25"/>
      <c r="C150" s="26" t="s">
        <v>145</v>
      </c>
      <c r="D150" s="25"/>
      <c r="E150" s="25" t="s">
        <v>146</v>
      </c>
      <c r="F150" s="36" t="s">
        <v>148</v>
      </c>
      <c r="G150" s="33">
        <v>0</v>
      </c>
      <c r="H150" s="24" t="s">
        <v>146</v>
      </c>
    </row>
    <row r="151" spans="1:8" x14ac:dyDescent="0.2">
      <c r="A151" s="25"/>
      <c r="B151" s="25"/>
      <c r="C151" s="34"/>
      <c r="D151" s="25"/>
      <c r="E151" s="25"/>
      <c r="F151" s="35"/>
      <c r="G151" s="35"/>
      <c r="H151" s="24" t="s">
        <v>146</v>
      </c>
    </row>
    <row r="152" spans="1:8" x14ac:dyDescent="0.2">
      <c r="A152" s="25"/>
      <c r="B152" s="25"/>
      <c r="C152" s="26" t="s">
        <v>162</v>
      </c>
      <c r="D152" s="25"/>
      <c r="E152" s="25"/>
      <c r="F152" s="35"/>
      <c r="G152" s="35"/>
      <c r="H152" s="24" t="s">
        <v>146</v>
      </c>
    </row>
    <row r="153" spans="1:8" x14ac:dyDescent="0.2">
      <c r="A153" s="25"/>
      <c r="B153" s="25"/>
      <c r="C153" s="26" t="s">
        <v>145</v>
      </c>
      <c r="D153" s="25"/>
      <c r="E153" s="25" t="s">
        <v>146</v>
      </c>
      <c r="F153" s="36" t="s">
        <v>148</v>
      </c>
      <c r="G153" s="33">
        <v>0</v>
      </c>
      <c r="H153" s="24" t="s">
        <v>146</v>
      </c>
    </row>
    <row r="154" spans="1:8" x14ac:dyDescent="0.2">
      <c r="A154" s="25"/>
      <c r="B154" s="25"/>
      <c r="C154" s="34"/>
      <c r="D154" s="25"/>
      <c r="E154" s="25"/>
      <c r="F154" s="35"/>
      <c r="G154" s="35"/>
      <c r="H154" s="24" t="s">
        <v>146</v>
      </c>
    </row>
    <row r="155" spans="1:8" x14ac:dyDescent="0.2">
      <c r="A155" s="25"/>
      <c r="B155" s="25"/>
      <c r="C155" s="26" t="s">
        <v>163</v>
      </c>
      <c r="D155" s="25"/>
      <c r="E155" s="25"/>
      <c r="F155" s="35"/>
      <c r="G155" s="35"/>
      <c r="H155" s="24" t="s">
        <v>146</v>
      </c>
    </row>
    <row r="156" spans="1:8" x14ac:dyDescent="0.2">
      <c r="A156" s="27">
        <v>1</v>
      </c>
      <c r="B156" s="28"/>
      <c r="C156" s="28" t="s">
        <v>164</v>
      </c>
      <c r="D156" s="28"/>
      <c r="E156" s="38"/>
      <c r="F156" s="30">
        <v>6409.6320210829999</v>
      </c>
      <c r="G156" s="31">
        <v>4.2847679999999999E-2</v>
      </c>
      <c r="H156" s="24">
        <v>6.57</v>
      </c>
    </row>
    <row r="157" spans="1:8" x14ac:dyDescent="0.2">
      <c r="A157" s="25"/>
      <c r="B157" s="25"/>
      <c r="C157" s="26" t="s">
        <v>145</v>
      </c>
      <c r="D157" s="25"/>
      <c r="E157" s="25" t="s">
        <v>146</v>
      </c>
      <c r="F157" s="32">
        <v>6409.6320210829999</v>
      </c>
      <c r="G157" s="33">
        <v>4.2847679999999999E-2</v>
      </c>
      <c r="H157" s="24" t="s">
        <v>146</v>
      </c>
    </row>
    <row r="158" spans="1:8" x14ac:dyDescent="0.2">
      <c r="A158" s="25"/>
      <c r="B158" s="25"/>
      <c r="C158" s="34"/>
      <c r="D158" s="25"/>
      <c r="E158" s="25"/>
      <c r="F158" s="35"/>
      <c r="G158" s="35"/>
      <c r="H158" s="24" t="s">
        <v>146</v>
      </c>
    </row>
    <row r="159" spans="1:8" x14ac:dyDescent="0.2">
      <c r="A159" s="25"/>
      <c r="B159" s="25"/>
      <c r="C159" s="26" t="s">
        <v>165</v>
      </c>
      <c r="D159" s="25"/>
      <c r="E159" s="25"/>
      <c r="F159" s="32">
        <v>6409.6320210829999</v>
      </c>
      <c r="G159" s="33">
        <v>4.2847679999999999E-2</v>
      </c>
      <c r="H159" s="24" t="s">
        <v>146</v>
      </c>
    </row>
    <row r="160" spans="1:8" x14ac:dyDescent="0.2">
      <c r="A160" s="25"/>
      <c r="B160" s="25"/>
      <c r="C160" s="35"/>
      <c r="D160" s="25"/>
      <c r="E160" s="25"/>
      <c r="F160" s="25"/>
      <c r="G160" s="25"/>
      <c r="H160" s="24" t="s">
        <v>146</v>
      </c>
    </row>
    <row r="161" spans="1:10" x14ac:dyDescent="0.2">
      <c r="A161" s="25"/>
      <c r="B161" s="25"/>
      <c r="C161" s="26" t="s">
        <v>166</v>
      </c>
      <c r="D161" s="25"/>
      <c r="E161" s="25"/>
      <c r="F161" s="25"/>
      <c r="G161" s="25"/>
      <c r="H161" s="24" t="s">
        <v>146</v>
      </c>
    </row>
    <row r="162" spans="1:10" x14ac:dyDescent="0.2">
      <c r="A162" s="25"/>
      <c r="B162" s="25"/>
      <c r="C162" s="26" t="s">
        <v>167</v>
      </c>
      <c r="D162" s="25"/>
      <c r="E162" s="25"/>
      <c r="F162" s="25"/>
      <c r="G162" s="25"/>
      <c r="H162" s="24" t="s">
        <v>146</v>
      </c>
    </row>
    <row r="163" spans="1:10" x14ac:dyDescent="0.2">
      <c r="A163" s="25"/>
      <c r="B163" s="25"/>
      <c r="C163" s="26" t="s">
        <v>145</v>
      </c>
      <c r="D163" s="25"/>
      <c r="E163" s="25" t="s">
        <v>146</v>
      </c>
      <c r="F163" s="36" t="s">
        <v>148</v>
      </c>
      <c r="G163" s="33">
        <v>0</v>
      </c>
      <c r="H163" s="24" t="s">
        <v>146</v>
      </c>
    </row>
    <row r="164" spans="1:10" x14ac:dyDescent="0.2">
      <c r="A164" s="25"/>
      <c r="B164" s="25"/>
      <c r="C164" s="34"/>
      <c r="D164" s="25"/>
      <c r="E164" s="25"/>
      <c r="F164" s="35"/>
      <c r="G164" s="35"/>
      <c r="H164" s="24" t="s">
        <v>146</v>
      </c>
    </row>
    <row r="165" spans="1:10" x14ac:dyDescent="0.2">
      <c r="A165" s="25"/>
      <c r="B165" s="25"/>
      <c r="C165" s="26" t="s">
        <v>168</v>
      </c>
      <c r="D165" s="25"/>
      <c r="E165" s="25"/>
      <c r="F165" s="25"/>
      <c r="G165" s="25"/>
      <c r="H165" s="24" t="s">
        <v>146</v>
      </c>
    </row>
    <row r="166" spans="1:10" x14ac:dyDescent="0.2">
      <c r="A166" s="25"/>
      <c r="B166" s="25"/>
      <c r="C166" s="26" t="s">
        <v>169</v>
      </c>
      <c r="D166" s="25"/>
      <c r="E166" s="25"/>
      <c r="F166" s="25"/>
      <c r="G166" s="25"/>
      <c r="H166" s="24" t="s">
        <v>146</v>
      </c>
    </row>
    <row r="167" spans="1:10" x14ac:dyDescent="0.2">
      <c r="A167" s="25"/>
      <c r="B167" s="25"/>
      <c r="C167" s="26" t="s">
        <v>145</v>
      </c>
      <c r="D167" s="25"/>
      <c r="E167" s="25" t="s">
        <v>146</v>
      </c>
      <c r="F167" s="36" t="s">
        <v>148</v>
      </c>
      <c r="G167" s="33">
        <v>0</v>
      </c>
      <c r="H167" s="24" t="s">
        <v>146</v>
      </c>
    </row>
    <row r="168" spans="1:10" x14ac:dyDescent="0.2">
      <c r="A168" s="25"/>
      <c r="B168" s="25"/>
      <c r="C168" s="34"/>
      <c r="D168" s="25"/>
      <c r="E168" s="25"/>
      <c r="F168" s="35"/>
      <c r="G168" s="35"/>
      <c r="H168" s="24" t="s">
        <v>146</v>
      </c>
    </row>
    <row r="169" spans="1:10" x14ac:dyDescent="0.2">
      <c r="A169" s="25"/>
      <c r="B169" s="25"/>
      <c r="C169" s="26" t="s">
        <v>170</v>
      </c>
      <c r="D169" s="25"/>
      <c r="E169" s="25"/>
      <c r="F169" s="35"/>
      <c r="G169" s="35"/>
      <c r="H169" s="24" t="s">
        <v>146</v>
      </c>
    </row>
    <row r="170" spans="1:10" x14ac:dyDescent="0.2">
      <c r="A170" s="25"/>
      <c r="B170" s="25"/>
      <c r="C170" s="26" t="s">
        <v>145</v>
      </c>
      <c r="D170" s="25"/>
      <c r="E170" s="25" t="s">
        <v>146</v>
      </c>
      <c r="F170" s="36" t="s">
        <v>148</v>
      </c>
      <c r="G170" s="33">
        <v>0</v>
      </c>
      <c r="H170" s="24" t="s">
        <v>146</v>
      </c>
    </row>
    <row r="171" spans="1:10" x14ac:dyDescent="0.2">
      <c r="A171" s="25"/>
      <c r="B171" s="25"/>
      <c r="C171" s="34"/>
      <c r="D171" s="25"/>
      <c r="E171" s="25"/>
      <c r="F171" s="35"/>
      <c r="G171" s="35"/>
      <c r="H171" s="24" t="s">
        <v>146</v>
      </c>
    </row>
    <row r="172" spans="1:10" x14ac:dyDescent="0.2">
      <c r="A172" s="38"/>
      <c r="B172" s="28"/>
      <c r="C172" s="28" t="s">
        <v>522</v>
      </c>
      <c r="D172" s="28"/>
      <c r="E172" s="38"/>
      <c r="F172" s="30">
        <v>893.95712809999998</v>
      </c>
      <c r="G172" s="31">
        <v>5.9760100000000003E-3</v>
      </c>
      <c r="H172" s="24" t="s">
        <v>146</v>
      </c>
    </row>
    <row r="173" spans="1:10" x14ac:dyDescent="0.2">
      <c r="A173" s="38"/>
      <c r="B173" s="28"/>
      <c r="C173" s="37" t="s">
        <v>884</v>
      </c>
      <c r="D173" s="28"/>
      <c r="E173" s="38"/>
      <c r="F173" s="30">
        <f>22670.68071757+F109</f>
        <v>568.45955007000157</v>
      </c>
      <c r="G173" s="31">
        <f>F173/F174</f>
        <v>3.8000892565122888E-3</v>
      </c>
      <c r="H173" s="24" t="s">
        <v>146</v>
      </c>
    </row>
    <row r="174" spans="1:10" x14ac:dyDescent="0.2">
      <c r="A174" s="34"/>
      <c r="B174" s="34"/>
      <c r="C174" s="26" t="s">
        <v>172</v>
      </c>
      <c r="D174" s="35"/>
      <c r="E174" s="35"/>
      <c r="F174" s="32">
        <f>F173+F172+F159+F143+F111</f>
        <v>149591.10476045296</v>
      </c>
      <c r="G174" s="39">
        <f>G173+G172+G159+G143+G111</f>
        <v>1.0000000219974523</v>
      </c>
      <c r="H174" s="24" t="s">
        <v>146</v>
      </c>
    </row>
    <row r="175" spans="1:10" x14ac:dyDescent="0.2">
      <c r="A175" s="40"/>
      <c r="B175" s="40"/>
      <c r="C175" s="40"/>
      <c r="D175" s="41"/>
      <c r="E175" s="41"/>
      <c r="F175" s="41"/>
      <c r="G175" s="41"/>
    </row>
    <row r="176" spans="1:10" x14ac:dyDescent="0.2">
      <c r="A176" s="42"/>
      <c r="B176" s="236" t="s">
        <v>858</v>
      </c>
      <c r="C176" s="236"/>
      <c r="D176" s="236"/>
      <c r="E176" s="236"/>
      <c r="F176" s="236"/>
      <c r="G176" s="236"/>
      <c r="H176" s="236"/>
      <c r="J176" s="44"/>
    </row>
    <row r="177" spans="1:17" x14ac:dyDescent="0.2">
      <c r="A177" s="42"/>
      <c r="B177" s="236" t="s">
        <v>859</v>
      </c>
      <c r="C177" s="236"/>
      <c r="D177" s="236"/>
      <c r="E177" s="236"/>
      <c r="F177" s="236"/>
      <c r="G177" s="236"/>
      <c r="H177" s="236"/>
      <c r="J177" s="44"/>
    </row>
    <row r="178" spans="1:17" x14ac:dyDescent="0.2">
      <c r="A178" s="42"/>
      <c r="B178" s="236" t="s">
        <v>860</v>
      </c>
      <c r="C178" s="236"/>
      <c r="D178" s="236"/>
      <c r="E178" s="236"/>
      <c r="F178" s="236"/>
      <c r="G178" s="236"/>
      <c r="H178" s="236"/>
      <c r="J178" s="44"/>
    </row>
    <row r="179" spans="1:17" s="46" customFormat="1" ht="65.25" customHeight="1" x14ac:dyDescent="0.25">
      <c r="A179" s="45"/>
      <c r="B179" s="237" t="s">
        <v>861</v>
      </c>
      <c r="C179" s="237"/>
      <c r="D179" s="237"/>
      <c r="E179" s="237"/>
      <c r="F179" s="237"/>
      <c r="G179" s="237"/>
      <c r="H179" s="237"/>
      <c r="I179"/>
      <c r="J179" s="44"/>
      <c r="K179"/>
      <c r="L179"/>
      <c r="M179"/>
      <c r="N179"/>
      <c r="O179"/>
      <c r="P179"/>
      <c r="Q179"/>
    </row>
    <row r="180" spans="1:17" x14ac:dyDescent="0.2">
      <c r="A180" s="42"/>
      <c r="B180" s="236" t="s">
        <v>862</v>
      </c>
      <c r="C180" s="236"/>
      <c r="D180" s="236"/>
      <c r="E180" s="236"/>
      <c r="F180" s="236"/>
      <c r="G180" s="236"/>
      <c r="H180" s="236"/>
      <c r="J180" s="44"/>
    </row>
    <row r="181" spans="1:17" x14ac:dyDescent="0.2">
      <c r="A181" s="47"/>
      <c r="B181" s="47"/>
      <c r="C181" s="47"/>
      <c r="D181" s="48"/>
      <c r="E181" s="48"/>
      <c r="F181" s="48"/>
      <c r="G181" s="48"/>
    </row>
    <row r="182" spans="1:17" x14ac:dyDescent="0.2">
      <c r="A182" s="47"/>
      <c r="B182" s="233" t="s">
        <v>173</v>
      </c>
      <c r="C182" s="234"/>
      <c r="D182" s="235"/>
      <c r="E182" s="49"/>
      <c r="F182" s="48"/>
      <c r="G182" s="48"/>
    </row>
    <row r="183" spans="1:17" ht="25.5" customHeight="1" x14ac:dyDescent="0.2">
      <c r="A183" s="47"/>
      <c r="B183" s="231" t="s">
        <v>174</v>
      </c>
      <c r="C183" s="232"/>
      <c r="D183" s="26" t="s">
        <v>175</v>
      </c>
      <c r="E183" s="49"/>
      <c r="F183" s="48"/>
      <c r="G183" s="48"/>
    </row>
    <row r="184" spans="1:17" x14ac:dyDescent="0.2">
      <c r="A184" s="47"/>
      <c r="B184" s="231" t="s">
        <v>863</v>
      </c>
      <c r="C184" s="232"/>
      <c r="D184" s="26" t="s">
        <v>175</v>
      </c>
      <c r="E184" s="49"/>
      <c r="F184" s="48"/>
      <c r="G184" s="48"/>
    </row>
    <row r="185" spans="1:17" x14ac:dyDescent="0.2">
      <c r="A185" s="47"/>
      <c r="B185" s="231" t="s">
        <v>176</v>
      </c>
      <c r="C185" s="232"/>
      <c r="D185" s="35" t="s">
        <v>146</v>
      </c>
      <c r="E185" s="49"/>
      <c r="F185" s="48"/>
      <c r="G185" s="48"/>
    </row>
    <row r="186" spans="1:17" x14ac:dyDescent="0.2">
      <c r="A186" s="53"/>
      <c r="B186" s="54" t="s">
        <v>146</v>
      </c>
      <c r="C186" s="54" t="s">
        <v>864</v>
      </c>
      <c r="D186" s="54" t="s">
        <v>177</v>
      </c>
      <c r="E186" s="53"/>
      <c r="F186" s="53"/>
      <c r="G186" s="53"/>
      <c r="H186" s="53"/>
      <c r="J186" s="44"/>
    </row>
    <row r="187" spans="1:17" x14ac:dyDescent="0.2">
      <c r="A187" s="53"/>
      <c r="B187" s="55" t="s">
        <v>178</v>
      </c>
      <c r="C187" s="56">
        <v>45657</v>
      </c>
      <c r="D187" s="56">
        <v>45688</v>
      </c>
      <c r="E187" s="53"/>
      <c r="F187" s="53"/>
      <c r="G187" s="53"/>
      <c r="J187" s="44"/>
    </row>
    <row r="188" spans="1:17" x14ac:dyDescent="0.2">
      <c r="A188" s="57"/>
      <c r="B188" s="28" t="s">
        <v>179</v>
      </c>
      <c r="C188" s="58">
        <v>39.862200000000001</v>
      </c>
      <c r="D188" s="58">
        <v>38.902000000000001</v>
      </c>
      <c r="E188" s="57"/>
      <c r="F188" s="59"/>
      <c r="G188" s="60"/>
    </row>
    <row r="189" spans="1:17" ht="25.5" x14ac:dyDescent="0.2">
      <c r="A189" s="57"/>
      <c r="B189" s="37" t="s">
        <v>893</v>
      </c>
      <c r="C189" s="58">
        <v>19.4207</v>
      </c>
      <c r="D189" s="58">
        <v>18.812899999999999</v>
      </c>
      <c r="E189" s="57"/>
      <c r="F189" s="59"/>
      <c r="G189" s="60"/>
    </row>
    <row r="190" spans="1:17" x14ac:dyDescent="0.2">
      <c r="A190" s="57"/>
      <c r="B190" s="28" t="s">
        <v>180</v>
      </c>
      <c r="C190" s="58">
        <v>34.247599999999998</v>
      </c>
      <c r="D190" s="58">
        <v>33.3812</v>
      </c>
      <c r="E190" s="57"/>
      <c r="F190" s="59"/>
      <c r="G190" s="60"/>
    </row>
    <row r="191" spans="1:17" ht="25.5" x14ac:dyDescent="0.2">
      <c r="A191" s="57"/>
      <c r="B191" s="37" t="s">
        <v>894</v>
      </c>
      <c r="C191" s="58">
        <v>16.011700000000001</v>
      </c>
      <c r="D191" s="58">
        <v>15.4917</v>
      </c>
      <c r="E191" s="57"/>
      <c r="F191" s="59"/>
      <c r="G191" s="60"/>
    </row>
    <row r="192" spans="1:17" x14ac:dyDescent="0.2">
      <c r="A192" s="57"/>
      <c r="B192" s="57"/>
      <c r="C192" s="57"/>
      <c r="D192" s="57"/>
      <c r="E192" s="57"/>
      <c r="F192" s="57"/>
      <c r="G192" s="57"/>
    </row>
    <row r="193" spans="1:7" x14ac:dyDescent="0.2">
      <c r="A193" s="57"/>
      <c r="B193" s="231" t="s">
        <v>865</v>
      </c>
      <c r="C193" s="232"/>
      <c r="D193" s="26" t="s">
        <v>146</v>
      </c>
      <c r="E193" s="57"/>
      <c r="F193" s="57"/>
      <c r="G193" s="57"/>
    </row>
    <row r="194" spans="1:7" x14ac:dyDescent="0.2">
      <c r="A194" s="57"/>
      <c r="B194" s="84" t="s">
        <v>178</v>
      </c>
      <c r="C194" s="85" t="s">
        <v>634</v>
      </c>
      <c r="D194" s="85" t="s">
        <v>635</v>
      </c>
      <c r="E194" s="57"/>
      <c r="F194" s="57"/>
      <c r="G194" s="57"/>
    </row>
    <row r="195" spans="1:7" ht="25.5" x14ac:dyDescent="0.2">
      <c r="A195" s="57"/>
      <c r="B195" s="37" t="s">
        <v>893</v>
      </c>
      <c r="C195" s="86">
        <v>0.14000000000000001</v>
      </c>
      <c r="D195" s="38" t="s">
        <v>674</v>
      </c>
      <c r="E195" s="57"/>
      <c r="F195" s="59"/>
      <c r="G195" s="60"/>
    </row>
    <row r="196" spans="1:7" ht="25.5" x14ac:dyDescent="0.2">
      <c r="A196" s="57"/>
      <c r="B196" s="37" t="s">
        <v>894</v>
      </c>
      <c r="C196" s="86">
        <v>0.115</v>
      </c>
      <c r="D196" s="86">
        <v>0.115</v>
      </c>
      <c r="E196" s="57"/>
      <c r="F196" s="59"/>
      <c r="G196" s="60"/>
    </row>
    <row r="197" spans="1:7" x14ac:dyDescent="0.2">
      <c r="A197" s="57"/>
      <c r="B197" s="87"/>
      <c r="C197" s="87"/>
      <c r="D197" s="88"/>
      <c r="E197" s="57"/>
      <c r="F197" s="59"/>
      <c r="G197" s="60"/>
    </row>
    <row r="198" spans="1:7" ht="29.1" customHeight="1" x14ac:dyDescent="0.2">
      <c r="A198" s="53"/>
      <c r="B198" s="227" t="s">
        <v>181</v>
      </c>
      <c r="C198" s="228"/>
      <c r="D198" s="50" t="s">
        <v>895</v>
      </c>
      <c r="E198" s="64"/>
      <c r="F198" s="53"/>
      <c r="G198" s="53"/>
    </row>
    <row r="199" spans="1:7" ht="29.1" customHeight="1" x14ac:dyDescent="0.2">
      <c r="A199" s="53"/>
      <c r="B199" s="227" t="s">
        <v>182</v>
      </c>
      <c r="C199" s="228"/>
      <c r="D199" s="50" t="s">
        <v>175</v>
      </c>
      <c r="E199" s="64"/>
      <c r="F199" s="53"/>
      <c r="G199" s="53"/>
    </row>
    <row r="200" spans="1:7" ht="17.100000000000001" customHeight="1" x14ac:dyDescent="0.2">
      <c r="A200" s="53"/>
      <c r="B200" s="227" t="s">
        <v>183</v>
      </c>
      <c r="C200" s="228"/>
      <c r="D200" s="50" t="s">
        <v>175</v>
      </c>
      <c r="E200" s="64"/>
      <c r="F200" s="53"/>
      <c r="G200" s="53"/>
    </row>
    <row r="201" spans="1:7" ht="17.100000000000001" customHeight="1" x14ac:dyDescent="0.2">
      <c r="A201" s="53"/>
      <c r="B201" s="227" t="s">
        <v>184</v>
      </c>
      <c r="C201" s="228"/>
      <c r="D201" s="65">
        <v>2.688691474556288</v>
      </c>
      <c r="E201" s="53"/>
      <c r="F201" s="43"/>
      <c r="G201" s="63"/>
    </row>
    <row r="203" spans="1:7" x14ac:dyDescent="0.2">
      <c r="B203" s="256" t="s">
        <v>915</v>
      </c>
      <c r="C203" s="257"/>
      <c r="D203" s="258"/>
      <c r="F203" s="53"/>
      <c r="G203" s="53"/>
    </row>
    <row r="204" spans="1:7" ht="25.5" x14ac:dyDescent="0.2">
      <c r="B204" s="259" t="s">
        <v>916</v>
      </c>
      <c r="C204" s="259"/>
      <c r="D204" s="107" t="s">
        <v>664</v>
      </c>
    </row>
    <row r="205" spans="1:7" x14ac:dyDescent="0.2">
      <c r="B205" s="259" t="s">
        <v>917</v>
      </c>
      <c r="C205" s="259"/>
      <c r="D205" s="115"/>
    </row>
    <row r="206" spans="1:7" x14ac:dyDescent="0.2">
      <c r="B206" s="260"/>
      <c r="C206" s="261"/>
      <c r="D206" s="108"/>
    </row>
    <row r="207" spans="1:7" x14ac:dyDescent="0.2">
      <c r="B207" s="259" t="s">
        <v>918</v>
      </c>
      <c r="C207" s="259"/>
      <c r="D207" s="109">
        <v>7.0416534814303402</v>
      </c>
    </row>
    <row r="208" spans="1:7" x14ac:dyDescent="0.2">
      <c r="B208" s="260"/>
      <c r="C208" s="261"/>
      <c r="D208" s="108"/>
    </row>
    <row r="209" spans="2:10" x14ac:dyDescent="0.2">
      <c r="B209" s="259" t="s">
        <v>919</v>
      </c>
      <c r="C209" s="259"/>
      <c r="D209" s="109">
        <v>4.4504171932711962</v>
      </c>
    </row>
    <row r="210" spans="2:10" x14ac:dyDescent="0.2">
      <c r="B210" s="259" t="s">
        <v>920</v>
      </c>
      <c r="C210" s="259"/>
      <c r="D210" s="109">
        <v>6.8385853943496331</v>
      </c>
    </row>
    <row r="211" spans="2:10" x14ac:dyDescent="0.2">
      <c r="B211" s="260"/>
      <c r="C211" s="261"/>
      <c r="D211" s="108"/>
    </row>
    <row r="212" spans="2:10" x14ac:dyDescent="0.2">
      <c r="B212" s="259" t="s">
        <v>921</v>
      </c>
      <c r="C212" s="259"/>
      <c r="D212" s="111" t="s">
        <v>924</v>
      </c>
    </row>
    <row r="213" spans="2:10" x14ac:dyDescent="0.2">
      <c r="B213" s="260" t="s">
        <v>922</v>
      </c>
      <c r="C213" s="262"/>
      <c r="D213" s="261"/>
    </row>
    <row r="215" spans="2:10" x14ac:dyDescent="0.2">
      <c r="B215" s="229" t="s">
        <v>866</v>
      </c>
      <c r="C215" s="229"/>
    </row>
    <row r="217" spans="2:10" ht="153.75" customHeight="1" x14ac:dyDescent="0.2"/>
    <row r="220" spans="2:10" x14ac:dyDescent="0.2">
      <c r="B220" s="66" t="s">
        <v>867</v>
      </c>
      <c r="C220" s="67"/>
      <c r="D220" s="66"/>
    </row>
    <row r="221" spans="2:10" x14ac:dyDescent="0.2">
      <c r="B221" s="66" t="s">
        <v>970</v>
      </c>
      <c r="D221" s="66"/>
    </row>
    <row r="222" spans="2:10" ht="165" customHeight="1" x14ac:dyDescent="0.2"/>
    <row r="224" spans="2:10" x14ac:dyDescent="0.2">
      <c r="J224" s="21"/>
    </row>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sheetData>
  <mergeCells count="29">
    <mergeCell ref="B215:C215"/>
    <mergeCell ref="B209:C209"/>
    <mergeCell ref="B210:C210"/>
    <mergeCell ref="B211:C211"/>
    <mergeCell ref="B212:C212"/>
    <mergeCell ref="B213:D213"/>
    <mergeCell ref="B204:C204"/>
    <mergeCell ref="B205:C205"/>
    <mergeCell ref="B206:C206"/>
    <mergeCell ref="B207:C207"/>
    <mergeCell ref="B208:C208"/>
    <mergeCell ref="B198:C198"/>
    <mergeCell ref="B203:D203"/>
    <mergeCell ref="B193:C193"/>
    <mergeCell ref="B199:C199"/>
    <mergeCell ref="B200:C200"/>
    <mergeCell ref="B201:C201"/>
    <mergeCell ref="A1:H1"/>
    <mergeCell ref="A2:H2"/>
    <mergeCell ref="A3:H3"/>
    <mergeCell ref="B184:C184"/>
    <mergeCell ref="B185:C185"/>
    <mergeCell ref="B182:D182"/>
    <mergeCell ref="B183:C183"/>
    <mergeCell ref="B176:H176"/>
    <mergeCell ref="B177:H177"/>
    <mergeCell ref="B178:H178"/>
    <mergeCell ref="B179:H179"/>
    <mergeCell ref="B180:H180"/>
  </mergeCells>
  <hyperlinks>
    <hyperlink ref="I1" location="Index!B2" display="Index" xr:uid="{4163F027-C134-408D-ABD6-525917304C9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E35C4-BFF6-4FAB-9E91-1BF520211ECE}">
  <sheetPr>
    <outlinePr summaryBelow="0" summaryRight="0"/>
  </sheetPr>
  <dimension ref="A1:S177"/>
  <sheetViews>
    <sheetView showGridLines="0" workbookViewId="0">
      <selection activeCell="C9" sqref="C9"/>
    </sheetView>
  </sheetViews>
  <sheetFormatPr defaultRowHeight="12.75" x14ac:dyDescent="0.2"/>
  <cols>
    <col min="1" max="1" width="5.85546875" bestFit="1" customWidth="1"/>
    <col min="2" max="2" width="20"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675</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327</v>
      </c>
      <c r="C7" s="28" t="s">
        <v>328</v>
      </c>
      <c r="D7" s="28" t="s">
        <v>33</v>
      </c>
      <c r="E7" s="29">
        <v>344000</v>
      </c>
      <c r="F7" s="30">
        <v>5843.7</v>
      </c>
      <c r="G7" s="31">
        <v>6.6442920000000003E-2</v>
      </c>
      <c r="H7" s="24" t="s">
        <v>146</v>
      </c>
    </row>
    <row r="8" spans="1:9" x14ac:dyDescent="0.2">
      <c r="A8" s="27">
        <v>2</v>
      </c>
      <c r="B8" s="28" t="s">
        <v>329</v>
      </c>
      <c r="C8" s="28" t="s">
        <v>330</v>
      </c>
      <c r="D8" s="28" t="s">
        <v>195</v>
      </c>
      <c r="E8" s="29">
        <v>215000</v>
      </c>
      <c r="F8" s="30">
        <v>4041.57</v>
      </c>
      <c r="G8" s="31">
        <v>4.5952680000000003E-2</v>
      </c>
      <c r="H8" s="24" t="s">
        <v>146</v>
      </c>
    </row>
    <row r="9" spans="1:9" x14ac:dyDescent="0.2">
      <c r="A9" s="27">
        <v>3</v>
      </c>
      <c r="B9" s="28" t="s">
        <v>31</v>
      </c>
      <c r="C9" s="28" t="s">
        <v>32</v>
      </c>
      <c r="D9" s="28" t="s">
        <v>33</v>
      </c>
      <c r="E9" s="29">
        <v>300000</v>
      </c>
      <c r="F9" s="30">
        <v>3758.4</v>
      </c>
      <c r="G9" s="31">
        <v>4.273304E-2</v>
      </c>
      <c r="H9" s="24" t="s">
        <v>146</v>
      </c>
    </row>
    <row r="10" spans="1:9" x14ac:dyDescent="0.2">
      <c r="A10" s="27">
        <v>4</v>
      </c>
      <c r="B10" s="28" t="s">
        <v>20</v>
      </c>
      <c r="C10" s="28" t="s">
        <v>21</v>
      </c>
      <c r="D10" s="28" t="s">
        <v>22</v>
      </c>
      <c r="E10" s="29">
        <v>840000</v>
      </c>
      <c r="F10" s="30">
        <v>2721.6</v>
      </c>
      <c r="G10" s="31">
        <v>3.0944610000000001E-2</v>
      </c>
      <c r="H10" s="24" t="s">
        <v>146</v>
      </c>
    </row>
    <row r="11" spans="1:9" x14ac:dyDescent="0.2">
      <c r="A11" s="27">
        <v>5</v>
      </c>
      <c r="B11" s="28" t="s">
        <v>14</v>
      </c>
      <c r="C11" s="28" t="s">
        <v>15</v>
      </c>
      <c r="D11" s="28" t="s">
        <v>16</v>
      </c>
      <c r="E11" s="29">
        <v>199000</v>
      </c>
      <c r="F11" s="30">
        <v>2517.549</v>
      </c>
      <c r="G11" s="31">
        <v>2.8624549999999999E-2</v>
      </c>
      <c r="H11" s="24" t="s">
        <v>146</v>
      </c>
    </row>
    <row r="12" spans="1:9" x14ac:dyDescent="0.2">
      <c r="A12" s="27">
        <v>6</v>
      </c>
      <c r="B12" s="28" t="s">
        <v>335</v>
      </c>
      <c r="C12" s="28" t="s">
        <v>336</v>
      </c>
      <c r="D12" s="28" t="s">
        <v>195</v>
      </c>
      <c r="E12" s="29">
        <v>57000</v>
      </c>
      <c r="F12" s="30">
        <v>2344.0680000000002</v>
      </c>
      <c r="G12" s="31">
        <v>2.665207E-2</v>
      </c>
      <c r="H12" s="24" t="s">
        <v>146</v>
      </c>
    </row>
    <row r="13" spans="1:9" x14ac:dyDescent="0.2">
      <c r="A13" s="27">
        <v>7</v>
      </c>
      <c r="B13" s="28" t="s">
        <v>48</v>
      </c>
      <c r="C13" s="28" t="s">
        <v>49</v>
      </c>
      <c r="D13" s="28" t="s">
        <v>33</v>
      </c>
      <c r="E13" s="29">
        <v>280000</v>
      </c>
      <c r="F13" s="30">
        <v>2164.12</v>
      </c>
      <c r="G13" s="31">
        <v>2.4606059999999999E-2</v>
      </c>
      <c r="H13" s="24" t="s">
        <v>146</v>
      </c>
    </row>
    <row r="14" spans="1:9" x14ac:dyDescent="0.2">
      <c r="A14" s="27">
        <v>8</v>
      </c>
      <c r="B14" s="28" t="s">
        <v>17</v>
      </c>
      <c r="C14" s="28" t="s">
        <v>18</v>
      </c>
      <c r="D14" s="28" t="s">
        <v>19</v>
      </c>
      <c r="E14" s="29">
        <v>130000</v>
      </c>
      <c r="F14" s="30">
        <v>2114.19</v>
      </c>
      <c r="G14" s="31">
        <v>2.4038360000000002E-2</v>
      </c>
      <c r="H14" s="24" t="s">
        <v>146</v>
      </c>
    </row>
    <row r="15" spans="1:9" x14ac:dyDescent="0.2">
      <c r="A15" s="27">
        <v>9</v>
      </c>
      <c r="B15" s="28" t="s">
        <v>26</v>
      </c>
      <c r="C15" s="28" t="s">
        <v>27</v>
      </c>
      <c r="D15" s="28" t="s">
        <v>22</v>
      </c>
      <c r="E15" s="29">
        <v>675000</v>
      </c>
      <c r="F15" s="30">
        <v>2036.1375</v>
      </c>
      <c r="G15" s="31">
        <v>2.3150899999999999E-2</v>
      </c>
      <c r="H15" s="24" t="s">
        <v>146</v>
      </c>
    </row>
    <row r="16" spans="1:9" x14ac:dyDescent="0.2">
      <c r="A16" s="27">
        <v>10</v>
      </c>
      <c r="B16" s="28" t="s">
        <v>347</v>
      </c>
      <c r="C16" s="28" t="s">
        <v>348</v>
      </c>
      <c r="D16" s="28" t="s">
        <v>349</v>
      </c>
      <c r="E16" s="29">
        <v>455000</v>
      </c>
      <c r="F16" s="30">
        <v>2036.125</v>
      </c>
      <c r="G16" s="31">
        <v>2.3150759999999999E-2</v>
      </c>
      <c r="H16" s="24" t="s">
        <v>146</v>
      </c>
    </row>
    <row r="17" spans="1:8" x14ac:dyDescent="0.2">
      <c r="A17" s="27">
        <v>11</v>
      </c>
      <c r="B17" s="28" t="s">
        <v>11</v>
      </c>
      <c r="C17" s="28" t="s">
        <v>12</v>
      </c>
      <c r="D17" s="28" t="s">
        <v>13</v>
      </c>
      <c r="E17" s="29">
        <v>57000</v>
      </c>
      <c r="F17" s="30">
        <v>2033.4179999999999</v>
      </c>
      <c r="G17" s="31">
        <v>2.3119979999999998E-2</v>
      </c>
      <c r="H17" s="24" t="s">
        <v>146</v>
      </c>
    </row>
    <row r="18" spans="1:8" x14ac:dyDescent="0.2">
      <c r="A18" s="27">
        <v>12</v>
      </c>
      <c r="B18" s="28" t="s">
        <v>371</v>
      </c>
      <c r="C18" s="28" t="s">
        <v>372</v>
      </c>
      <c r="D18" s="28" t="s">
        <v>373</v>
      </c>
      <c r="E18" s="29">
        <v>450000</v>
      </c>
      <c r="F18" s="30">
        <v>1781.55</v>
      </c>
      <c r="G18" s="31">
        <v>2.0256239999999998E-2</v>
      </c>
      <c r="H18" s="24" t="s">
        <v>146</v>
      </c>
    </row>
    <row r="19" spans="1:8" x14ac:dyDescent="0.2">
      <c r="A19" s="27">
        <v>13</v>
      </c>
      <c r="B19" s="28" t="s">
        <v>526</v>
      </c>
      <c r="C19" s="28" t="s">
        <v>527</v>
      </c>
      <c r="D19" s="28" t="s">
        <v>275</v>
      </c>
      <c r="E19" s="29">
        <v>14000</v>
      </c>
      <c r="F19" s="30">
        <v>1723.491</v>
      </c>
      <c r="G19" s="31">
        <v>1.959611E-2</v>
      </c>
      <c r="H19" s="24" t="s">
        <v>146</v>
      </c>
    </row>
    <row r="20" spans="1:8" x14ac:dyDescent="0.2">
      <c r="A20" s="27">
        <v>14</v>
      </c>
      <c r="B20" s="28" t="s">
        <v>377</v>
      </c>
      <c r="C20" s="28" t="s">
        <v>378</v>
      </c>
      <c r="D20" s="28" t="s">
        <v>208</v>
      </c>
      <c r="E20" s="29">
        <v>345000</v>
      </c>
      <c r="F20" s="30">
        <v>1695.8475000000001</v>
      </c>
      <c r="G20" s="31">
        <v>1.9281800000000002E-2</v>
      </c>
      <c r="H20" s="24" t="s">
        <v>146</v>
      </c>
    </row>
    <row r="21" spans="1:8" x14ac:dyDescent="0.2">
      <c r="A21" s="27">
        <v>15</v>
      </c>
      <c r="B21" s="28" t="s">
        <v>530</v>
      </c>
      <c r="C21" s="28" t="s">
        <v>531</v>
      </c>
      <c r="D21" s="28" t="s">
        <v>195</v>
      </c>
      <c r="E21" s="29">
        <v>100000</v>
      </c>
      <c r="F21" s="30">
        <v>1674.45</v>
      </c>
      <c r="G21" s="31">
        <v>1.9038510000000002E-2</v>
      </c>
      <c r="H21" s="24" t="s">
        <v>146</v>
      </c>
    </row>
    <row r="22" spans="1:8" x14ac:dyDescent="0.2">
      <c r="A22" s="27">
        <v>16</v>
      </c>
      <c r="B22" s="28" t="s">
        <v>441</v>
      </c>
      <c r="C22" s="28" t="s">
        <v>442</v>
      </c>
      <c r="D22" s="28" t="s">
        <v>349</v>
      </c>
      <c r="E22" s="29">
        <v>66000</v>
      </c>
      <c r="F22" s="30">
        <v>1629.4079999999999</v>
      </c>
      <c r="G22" s="31">
        <v>1.8526379999999999E-2</v>
      </c>
      <c r="H22" s="24" t="s">
        <v>146</v>
      </c>
    </row>
    <row r="23" spans="1:8" x14ac:dyDescent="0.2">
      <c r="A23" s="27">
        <v>17</v>
      </c>
      <c r="B23" s="28" t="s">
        <v>28</v>
      </c>
      <c r="C23" s="28" t="s">
        <v>29</v>
      </c>
      <c r="D23" s="28" t="s">
        <v>30</v>
      </c>
      <c r="E23" s="29">
        <v>550000</v>
      </c>
      <c r="F23" s="30">
        <v>1609.575</v>
      </c>
      <c r="G23" s="31">
        <v>1.8300879999999999E-2</v>
      </c>
      <c r="H23" s="24" t="s">
        <v>146</v>
      </c>
    </row>
    <row r="24" spans="1:8" x14ac:dyDescent="0.2">
      <c r="A24" s="27">
        <v>18</v>
      </c>
      <c r="B24" s="28" t="s">
        <v>54</v>
      </c>
      <c r="C24" s="28" t="s">
        <v>55</v>
      </c>
      <c r="D24" s="28" t="s">
        <v>56</v>
      </c>
      <c r="E24" s="29">
        <v>600000</v>
      </c>
      <c r="F24" s="30">
        <v>1575.66</v>
      </c>
      <c r="G24" s="31">
        <v>1.791527E-2</v>
      </c>
      <c r="H24" s="24" t="s">
        <v>146</v>
      </c>
    </row>
    <row r="25" spans="1:8" x14ac:dyDescent="0.2">
      <c r="A25" s="27">
        <v>19</v>
      </c>
      <c r="B25" s="28" t="s">
        <v>435</v>
      </c>
      <c r="C25" s="28" t="s">
        <v>436</v>
      </c>
      <c r="D25" s="28" t="s">
        <v>195</v>
      </c>
      <c r="E25" s="29">
        <v>90000</v>
      </c>
      <c r="F25" s="30">
        <v>1552.905</v>
      </c>
      <c r="G25" s="31">
        <v>1.7656539999999998E-2</v>
      </c>
      <c r="H25" s="24" t="s">
        <v>146</v>
      </c>
    </row>
    <row r="26" spans="1:8" ht="25.5" x14ac:dyDescent="0.2">
      <c r="A26" s="27">
        <v>20</v>
      </c>
      <c r="B26" s="28" t="s">
        <v>337</v>
      </c>
      <c r="C26" s="28" t="s">
        <v>338</v>
      </c>
      <c r="D26" s="28" t="s">
        <v>198</v>
      </c>
      <c r="E26" s="29">
        <v>85000</v>
      </c>
      <c r="F26" s="30">
        <v>1482.3575000000001</v>
      </c>
      <c r="G26" s="31">
        <v>1.6854419999999998E-2</v>
      </c>
      <c r="H26" s="24" t="s">
        <v>146</v>
      </c>
    </row>
    <row r="27" spans="1:8" x14ac:dyDescent="0.2">
      <c r="A27" s="27">
        <v>21</v>
      </c>
      <c r="B27" s="28" t="s">
        <v>341</v>
      </c>
      <c r="C27" s="28" t="s">
        <v>342</v>
      </c>
      <c r="D27" s="28" t="s">
        <v>33</v>
      </c>
      <c r="E27" s="29">
        <v>650000</v>
      </c>
      <c r="F27" s="30">
        <v>1387.0350000000001</v>
      </c>
      <c r="G27" s="31">
        <v>1.5770599999999999E-2</v>
      </c>
      <c r="H27" s="24" t="s">
        <v>146</v>
      </c>
    </row>
    <row r="28" spans="1:8" ht="25.5" x14ac:dyDescent="0.2">
      <c r="A28" s="27">
        <v>22</v>
      </c>
      <c r="B28" s="28" t="s">
        <v>23</v>
      </c>
      <c r="C28" s="28" t="s">
        <v>24</v>
      </c>
      <c r="D28" s="28" t="s">
        <v>25</v>
      </c>
      <c r="E28" s="29">
        <v>12000</v>
      </c>
      <c r="F28" s="30">
        <v>1378.4939999999999</v>
      </c>
      <c r="G28" s="31">
        <v>1.5673490000000002E-2</v>
      </c>
      <c r="H28" s="24" t="s">
        <v>146</v>
      </c>
    </row>
    <row r="29" spans="1:8" x14ac:dyDescent="0.2">
      <c r="A29" s="27">
        <v>23</v>
      </c>
      <c r="B29" s="28" t="s">
        <v>532</v>
      </c>
      <c r="C29" s="28" t="s">
        <v>533</v>
      </c>
      <c r="D29" s="28" t="s">
        <v>275</v>
      </c>
      <c r="E29" s="29">
        <v>45000</v>
      </c>
      <c r="F29" s="30">
        <v>1345.4324999999999</v>
      </c>
      <c r="G29" s="31">
        <v>1.529758E-2</v>
      </c>
      <c r="H29" s="24" t="s">
        <v>146</v>
      </c>
    </row>
    <row r="30" spans="1:8" x14ac:dyDescent="0.2">
      <c r="A30" s="27">
        <v>24</v>
      </c>
      <c r="B30" s="28" t="s">
        <v>34</v>
      </c>
      <c r="C30" s="28" t="s">
        <v>35</v>
      </c>
      <c r="D30" s="28" t="s">
        <v>36</v>
      </c>
      <c r="E30" s="29">
        <v>71000</v>
      </c>
      <c r="F30" s="30">
        <v>1269.125</v>
      </c>
      <c r="G30" s="31">
        <v>1.442996E-2</v>
      </c>
      <c r="H30" s="24" t="s">
        <v>146</v>
      </c>
    </row>
    <row r="31" spans="1:8" x14ac:dyDescent="0.2">
      <c r="A31" s="27">
        <v>25</v>
      </c>
      <c r="B31" s="28" t="s">
        <v>219</v>
      </c>
      <c r="C31" s="28" t="s">
        <v>220</v>
      </c>
      <c r="D31" s="28" t="s">
        <v>16</v>
      </c>
      <c r="E31" s="29">
        <v>350000</v>
      </c>
      <c r="F31" s="30">
        <v>1253.875</v>
      </c>
      <c r="G31" s="31">
        <v>1.425657E-2</v>
      </c>
      <c r="H31" s="24" t="s">
        <v>146</v>
      </c>
    </row>
    <row r="32" spans="1:8" x14ac:dyDescent="0.2">
      <c r="A32" s="27">
        <v>26</v>
      </c>
      <c r="B32" s="28" t="s">
        <v>676</v>
      </c>
      <c r="C32" s="28" t="s">
        <v>677</v>
      </c>
      <c r="D32" s="28" t="s">
        <v>22</v>
      </c>
      <c r="E32" s="29">
        <v>1550000</v>
      </c>
      <c r="F32" s="30">
        <v>1248.5250000000001</v>
      </c>
      <c r="G32" s="31">
        <v>1.419574E-2</v>
      </c>
      <c r="H32" s="24" t="s">
        <v>146</v>
      </c>
    </row>
    <row r="33" spans="1:8" x14ac:dyDescent="0.2">
      <c r="A33" s="27">
        <v>27</v>
      </c>
      <c r="B33" s="28" t="s">
        <v>333</v>
      </c>
      <c r="C33" s="28" t="s">
        <v>334</v>
      </c>
      <c r="D33" s="28" t="s">
        <v>33</v>
      </c>
      <c r="E33" s="29">
        <v>65000</v>
      </c>
      <c r="F33" s="30">
        <v>1235.845</v>
      </c>
      <c r="G33" s="31">
        <v>1.4051569999999999E-2</v>
      </c>
      <c r="H33" s="24" t="s">
        <v>146</v>
      </c>
    </row>
    <row r="34" spans="1:8" x14ac:dyDescent="0.2">
      <c r="A34" s="27">
        <v>28</v>
      </c>
      <c r="B34" s="28" t="s">
        <v>278</v>
      </c>
      <c r="C34" s="28" t="s">
        <v>279</v>
      </c>
      <c r="D34" s="28" t="s">
        <v>280</v>
      </c>
      <c r="E34" s="29">
        <v>200000</v>
      </c>
      <c r="F34" s="30">
        <v>1232</v>
      </c>
      <c r="G34" s="31">
        <v>1.4007850000000001E-2</v>
      </c>
      <c r="H34" s="24" t="s">
        <v>146</v>
      </c>
    </row>
    <row r="35" spans="1:8" x14ac:dyDescent="0.2">
      <c r="A35" s="27">
        <v>29</v>
      </c>
      <c r="B35" s="28" t="s">
        <v>678</v>
      </c>
      <c r="C35" s="28" t="s">
        <v>679</v>
      </c>
      <c r="D35" s="28" t="s">
        <v>22</v>
      </c>
      <c r="E35" s="29">
        <v>850000</v>
      </c>
      <c r="F35" s="30">
        <v>1215.33</v>
      </c>
      <c r="G35" s="31">
        <v>1.381831E-2</v>
      </c>
      <c r="H35" s="24" t="s">
        <v>146</v>
      </c>
    </row>
    <row r="36" spans="1:8" ht="25.5" x14ac:dyDescent="0.2">
      <c r="A36" s="27">
        <v>30</v>
      </c>
      <c r="B36" s="28" t="s">
        <v>369</v>
      </c>
      <c r="C36" s="28" t="s">
        <v>370</v>
      </c>
      <c r="D36" s="28" t="s">
        <v>25</v>
      </c>
      <c r="E36" s="29">
        <v>47500</v>
      </c>
      <c r="F36" s="30">
        <v>1191.7037499999999</v>
      </c>
      <c r="G36" s="31">
        <v>1.354968E-2</v>
      </c>
      <c r="H36" s="24" t="s">
        <v>146</v>
      </c>
    </row>
    <row r="37" spans="1:8" ht="25.5" x14ac:dyDescent="0.2">
      <c r="A37" s="27">
        <v>31</v>
      </c>
      <c r="B37" s="28" t="s">
        <v>216</v>
      </c>
      <c r="C37" s="28" t="s">
        <v>217</v>
      </c>
      <c r="D37" s="28" t="s">
        <v>218</v>
      </c>
      <c r="E37" s="29">
        <v>175000</v>
      </c>
      <c r="F37" s="30">
        <v>1173.6375</v>
      </c>
      <c r="G37" s="31">
        <v>1.334427E-2</v>
      </c>
      <c r="H37" s="24" t="s">
        <v>146</v>
      </c>
    </row>
    <row r="38" spans="1:8" x14ac:dyDescent="0.2">
      <c r="A38" s="27">
        <v>32</v>
      </c>
      <c r="B38" s="28" t="s">
        <v>680</v>
      </c>
      <c r="C38" s="28" t="s">
        <v>681</v>
      </c>
      <c r="D38" s="28" t="s">
        <v>39</v>
      </c>
      <c r="E38" s="29">
        <v>60000</v>
      </c>
      <c r="F38" s="30">
        <v>1090.53</v>
      </c>
      <c r="G38" s="31">
        <v>1.239934E-2</v>
      </c>
      <c r="H38" s="24" t="s">
        <v>146</v>
      </c>
    </row>
    <row r="39" spans="1:8" x14ac:dyDescent="0.2">
      <c r="A39" s="27">
        <v>33</v>
      </c>
      <c r="B39" s="28" t="s">
        <v>339</v>
      </c>
      <c r="C39" s="28" t="s">
        <v>340</v>
      </c>
      <c r="D39" s="28" t="s">
        <v>33</v>
      </c>
      <c r="E39" s="29">
        <v>110000</v>
      </c>
      <c r="F39" s="30">
        <v>1084.71</v>
      </c>
      <c r="G39" s="31">
        <v>1.2333159999999999E-2</v>
      </c>
      <c r="H39" s="24" t="s">
        <v>146</v>
      </c>
    </row>
    <row r="40" spans="1:8" x14ac:dyDescent="0.2">
      <c r="A40" s="27">
        <v>34</v>
      </c>
      <c r="B40" s="28" t="s">
        <v>61</v>
      </c>
      <c r="C40" s="28" t="s">
        <v>62</v>
      </c>
      <c r="D40" s="28" t="s">
        <v>36</v>
      </c>
      <c r="E40" s="29">
        <v>290000</v>
      </c>
      <c r="F40" s="30">
        <v>1066.4749999999999</v>
      </c>
      <c r="G40" s="31">
        <v>1.2125830000000001E-2</v>
      </c>
      <c r="H40" s="24" t="s">
        <v>146</v>
      </c>
    </row>
    <row r="41" spans="1:8" ht="25.5" x14ac:dyDescent="0.2">
      <c r="A41" s="27">
        <v>35</v>
      </c>
      <c r="B41" s="28" t="s">
        <v>437</v>
      </c>
      <c r="C41" s="28" t="s">
        <v>438</v>
      </c>
      <c r="D41" s="28" t="s">
        <v>198</v>
      </c>
      <c r="E41" s="29">
        <v>72000</v>
      </c>
      <c r="F41" s="30">
        <v>1065.1679999999999</v>
      </c>
      <c r="G41" s="31">
        <v>1.211097E-2</v>
      </c>
      <c r="H41" s="24" t="s">
        <v>146</v>
      </c>
    </row>
    <row r="42" spans="1:8" x14ac:dyDescent="0.2">
      <c r="A42" s="27">
        <v>36</v>
      </c>
      <c r="B42" s="28" t="s">
        <v>97</v>
      </c>
      <c r="C42" s="28" t="s">
        <v>98</v>
      </c>
      <c r="D42" s="28" t="s">
        <v>99</v>
      </c>
      <c r="E42" s="29">
        <v>600000</v>
      </c>
      <c r="F42" s="30">
        <v>1062.72</v>
      </c>
      <c r="G42" s="31">
        <v>1.2083139999999999E-2</v>
      </c>
      <c r="H42" s="24" t="s">
        <v>146</v>
      </c>
    </row>
    <row r="43" spans="1:8" x14ac:dyDescent="0.2">
      <c r="A43" s="27">
        <v>37</v>
      </c>
      <c r="B43" s="28" t="s">
        <v>240</v>
      </c>
      <c r="C43" s="28" t="s">
        <v>241</v>
      </c>
      <c r="D43" s="28" t="s">
        <v>195</v>
      </c>
      <c r="E43" s="29">
        <v>36000</v>
      </c>
      <c r="F43" s="30">
        <v>1032.462</v>
      </c>
      <c r="G43" s="31">
        <v>1.1739100000000001E-2</v>
      </c>
      <c r="H43" s="24" t="s">
        <v>146</v>
      </c>
    </row>
    <row r="44" spans="1:8" ht="25.5" x14ac:dyDescent="0.2">
      <c r="A44" s="27">
        <v>38</v>
      </c>
      <c r="B44" s="28" t="s">
        <v>483</v>
      </c>
      <c r="C44" s="28" t="s">
        <v>484</v>
      </c>
      <c r="D44" s="28" t="s">
        <v>485</v>
      </c>
      <c r="E44" s="29">
        <v>210305</v>
      </c>
      <c r="F44" s="30">
        <v>991.37777000000006</v>
      </c>
      <c r="G44" s="31">
        <v>1.1271969999999999E-2</v>
      </c>
      <c r="H44" s="24" t="s">
        <v>146</v>
      </c>
    </row>
    <row r="45" spans="1:8" x14ac:dyDescent="0.2">
      <c r="A45" s="27">
        <v>39</v>
      </c>
      <c r="B45" s="28" t="s">
        <v>227</v>
      </c>
      <c r="C45" s="28" t="s">
        <v>228</v>
      </c>
      <c r="D45" s="28" t="s">
        <v>83</v>
      </c>
      <c r="E45" s="29">
        <v>225000</v>
      </c>
      <c r="F45" s="30">
        <v>983.92499999999995</v>
      </c>
      <c r="G45" s="31">
        <v>1.1187239999999999E-2</v>
      </c>
      <c r="H45" s="24" t="s">
        <v>146</v>
      </c>
    </row>
    <row r="46" spans="1:8" x14ac:dyDescent="0.2">
      <c r="A46" s="27">
        <v>40</v>
      </c>
      <c r="B46" s="28" t="s">
        <v>524</v>
      </c>
      <c r="C46" s="28" t="s">
        <v>525</v>
      </c>
      <c r="D46" s="28" t="s">
        <v>226</v>
      </c>
      <c r="E46" s="29">
        <v>68000</v>
      </c>
      <c r="F46" s="30">
        <v>968.32</v>
      </c>
      <c r="G46" s="31">
        <v>1.100981E-2</v>
      </c>
      <c r="H46" s="24" t="s">
        <v>146</v>
      </c>
    </row>
    <row r="47" spans="1:8" x14ac:dyDescent="0.2">
      <c r="A47" s="27">
        <v>41</v>
      </c>
      <c r="B47" s="28" t="s">
        <v>682</v>
      </c>
      <c r="C47" s="28" t="s">
        <v>683</v>
      </c>
      <c r="D47" s="28" t="s">
        <v>354</v>
      </c>
      <c r="E47" s="29">
        <v>17500</v>
      </c>
      <c r="F47" s="30">
        <v>953.63625000000002</v>
      </c>
      <c r="G47" s="31">
        <v>1.0842849999999999E-2</v>
      </c>
      <c r="H47" s="24" t="s">
        <v>146</v>
      </c>
    </row>
    <row r="48" spans="1:8" x14ac:dyDescent="0.2">
      <c r="A48" s="27">
        <v>42</v>
      </c>
      <c r="B48" s="28" t="s">
        <v>271</v>
      </c>
      <c r="C48" s="28" t="s">
        <v>272</v>
      </c>
      <c r="D48" s="28" t="s">
        <v>83</v>
      </c>
      <c r="E48" s="29">
        <v>100000</v>
      </c>
      <c r="F48" s="30">
        <v>945.6</v>
      </c>
      <c r="G48" s="31">
        <v>1.0751480000000001E-2</v>
      </c>
      <c r="H48" s="24" t="s">
        <v>146</v>
      </c>
    </row>
    <row r="49" spans="1:8" x14ac:dyDescent="0.2">
      <c r="A49" s="27">
        <v>43</v>
      </c>
      <c r="B49" s="28" t="s">
        <v>118</v>
      </c>
      <c r="C49" s="28" t="s">
        <v>119</v>
      </c>
      <c r="D49" s="28" t="s">
        <v>120</v>
      </c>
      <c r="E49" s="29">
        <v>210000</v>
      </c>
      <c r="F49" s="30">
        <v>944.68499999999995</v>
      </c>
      <c r="G49" s="31">
        <v>1.074108E-2</v>
      </c>
      <c r="H49" s="24" t="s">
        <v>146</v>
      </c>
    </row>
    <row r="50" spans="1:8" x14ac:dyDescent="0.2">
      <c r="A50" s="27">
        <v>44</v>
      </c>
      <c r="B50" s="28" t="s">
        <v>252</v>
      </c>
      <c r="C50" s="28" t="s">
        <v>253</v>
      </c>
      <c r="D50" s="28" t="s">
        <v>195</v>
      </c>
      <c r="E50" s="29">
        <v>11000</v>
      </c>
      <c r="F50" s="30">
        <v>909.02350000000001</v>
      </c>
      <c r="G50" s="31">
        <v>1.033561E-2</v>
      </c>
      <c r="H50" s="24" t="s">
        <v>146</v>
      </c>
    </row>
    <row r="51" spans="1:8" x14ac:dyDescent="0.2">
      <c r="A51" s="27">
        <v>45</v>
      </c>
      <c r="B51" s="28" t="s">
        <v>359</v>
      </c>
      <c r="C51" s="28" t="s">
        <v>360</v>
      </c>
      <c r="D51" s="28" t="s">
        <v>30</v>
      </c>
      <c r="E51" s="29">
        <v>23000</v>
      </c>
      <c r="F51" s="30">
        <v>905.46400000000006</v>
      </c>
      <c r="G51" s="31">
        <v>1.029513E-2</v>
      </c>
      <c r="H51" s="24" t="s">
        <v>146</v>
      </c>
    </row>
    <row r="52" spans="1:8" x14ac:dyDescent="0.2">
      <c r="A52" s="27">
        <v>46</v>
      </c>
      <c r="B52" s="28" t="s">
        <v>425</v>
      </c>
      <c r="C52" s="28" t="s">
        <v>426</v>
      </c>
      <c r="D52" s="28" t="s">
        <v>139</v>
      </c>
      <c r="E52" s="29">
        <v>650000</v>
      </c>
      <c r="F52" s="30">
        <v>875.03</v>
      </c>
      <c r="G52" s="31">
        <v>9.9491000000000007E-3</v>
      </c>
      <c r="H52" s="24" t="s">
        <v>146</v>
      </c>
    </row>
    <row r="53" spans="1:8" x14ac:dyDescent="0.2">
      <c r="A53" s="27">
        <v>47</v>
      </c>
      <c r="B53" s="28" t="s">
        <v>295</v>
      </c>
      <c r="C53" s="28" t="s">
        <v>296</v>
      </c>
      <c r="D53" s="28" t="s">
        <v>99</v>
      </c>
      <c r="E53" s="29">
        <v>250000</v>
      </c>
      <c r="F53" s="30">
        <v>864.25</v>
      </c>
      <c r="G53" s="31">
        <v>9.82653E-3</v>
      </c>
      <c r="H53" s="24" t="s">
        <v>146</v>
      </c>
    </row>
    <row r="54" spans="1:8" ht="25.5" x14ac:dyDescent="0.2">
      <c r="A54" s="27">
        <v>48</v>
      </c>
      <c r="B54" s="28" t="s">
        <v>188</v>
      </c>
      <c r="C54" s="28" t="s">
        <v>189</v>
      </c>
      <c r="D54" s="28" t="s">
        <v>190</v>
      </c>
      <c r="E54" s="29">
        <v>45000</v>
      </c>
      <c r="F54" s="30">
        <v>814.29750000000001</v>
      </c>
      <c r="G54" s="31">
        <v>9.2585700000000007E-3</v>
      </c>
      <c r="H54" s="24" t="s">
        <v>146</v>
      </c>
    </row>
    <row r="55" spans="1:8" ht="25.5" x14ac:dyDescent="0.2">
      <c r="A55" s="27">
        <v>49</v>
      </c>
      <c r="B55" s="28" t="s">
        <v>367</v>
      </c>
      <c r="C55" s="28" t="s">
        <v>368</v>
      </c>
      <c r="D55" s="28" t="s">
        <v>198</v>
      </c>
      <c r="E55" s="29">
        <v>68000</v>
      </c>
      <c r="F55" s="30">
        <v>796.89200000000005</v>
      </c>
      <c r="G55" s="31">
        <v>9.0606699999999998E-3</v>
      </c>
      <c r="H55" s="24" t="s">
        <v>146</v>
      </c>
    </row>
    <row r="56" spans="1:8" x14ac:dyDescent="0.2">
      <c r="A56" s="27">
        <v>50</v>
      </c>
      <c r="B56" s="28" t="s">
        <v>110</v>
      </c>
      <c r="C56" s="28" t="s">
        <v>111</v>
      </c>
      <c r="D56" s="28" t="s">
        <v>42</v>
      </c>
      <c r="E56" s="29">
        <v>27000</v>
      </c>
      <c r="F56" s="30">
        <v>786.79349999999999</v>
      </c>
      <c r="G56" s="31">
        <v>8.94585E-3</v>
      </c>
      <c r="H56" s="24" t="s">
        <v>146</v>
      </c>
    </row>
    <row r="57" spans="1:8" ht="25.5" x14ac:dyDescent="0.2">
      <c r="A57" s="27">
        <v>51</v>
      </c>
      <c r="B57" s="28" t="s">
        <v>684</v>
      </c>
      <c r="C57" s="28" t="s">
        <v>685</v>
      </c>
      <c r="D57" s="28" t="s">
        <v>190</v>
      </c>
      <c r="E57" s="29">
        <v>15000</v>
      </c>
      <c r="F57" s="30">
        <v>767.38499999999999</v>
      </c>
      <c r="G57" s="31">
        <v>8.7251700000000008E-3</v>
      </c>
      <c r="H57" s="24" t="s">
        <v>146</v>
      </c>
    </row>
    <row r="58" spans="1:8" x14ac:dyDescent="0.2">
      <c r="A58" s="27">
        <v>52</v>
      </c>
      <c r="B58" s="28" t="s">
        <v>528</v>
      </c>
      <c r="C58" s="28" t="s">
        <v>529</v>
      </c>
      <c r="D58" s="28" t="s">
        <v>275</v>
      </c>
      <c r="E58" s="29">
        <v>8500</v>
      </c>
      <c r="F58" s="30">
        <v>752.06299999999999</v>
      </c>
      <c r="G58" s="31">
        <v>8.5509599999999998E-3</v>
      </c>
      <c r="H58" s="24" t="s">
        <v>146</v>
      </c>
    </row>
    <row r="59" spans="1:8" x14ac:dyDescent="0.2">
      <c r="A59" s="27">
        <v>53</v>
      </c>
      <c r="B59" s="28" t="s">
        <v>244</v>
      </c>
      <c r="C59" s="28" t="s">
        <v>245</v>
      </c>
      <c r="D59" s="28" t="s">
        <v>120</v>
      </c>
      <c r="E59" s="29">
        <v>7500</v>
      </c>
      <c r="F59" s="30">
        <v>702.19875000000002</v>
      </c>
      <c r="G59" s="31">
        <v>7.9840099999999997E-3</v>
      </c>
      <c r="H59" s="24" t="s">
        <v>146</v>
      </c>
    </row>
    <row r="60" spans="1:8" x14ac:dyDescent="0.2">
      <c r="A60" s="27">
        <v>54</v>
      </c>
      <c r="B60" s="28" t="s">
        <v>448</v>
      </c>
      <c r="C60" s="28" t="s">
        <v>449</v>
      </c>
      <c r="D60" s="28" t="s">
        <v>33</v>
      </c>
      <c r="E60" s="29">
        <v>70000</v>
      </c>
      <c r="F60" s="30">
        <v>693.84</v>
      </c>
      <c r="G60" s="31">
        <v>7.8889700000000004E-3</v>
      </c>
      <c r="H60" s="24" t="s">
        <v>146</v>
      </c>
    </row>
    <row r="61" spans="1:8" x14ac:dyDescent="0.2">
      <c r="A61" s="27">
        <v>55</v>
      </c>
      <c r="B61" s="28" t="s">
        <v>269</v>
      </c>
      <c r="C61" s="28" t="s">
        <v>270</v>
      </c>
      <c r="D61" s="28" t="s">
        <v>120</v>
      </c>
      <c r="E61" s="29">
        <v>125000</v>
      </c>
      <c r="F61" s="30">
        <v>679.6875</v>
      </c>
      <c r="G61" s="31">
        <v>7.7280500000000002E-3</v>
      </c>
      <c r="H61" s="24" t="s">
        <v>146</v>
      </c>
    </row>
    <row r="62" spans="1:8" x14ac:dyDescent="0.2">
      <c r="A62" s="27">
        <v>56</v>
      </c>
      <c r="B62" s="28" t="s">
        <v>493</v>
      </c>
      <c r="C62" s="28" t="s">
        <v>494</v>
      </c>
      <c r="D62" s="28" t="s">
        <v>39</v>
      </c>
      <c r="E62" s="29">
        <v>140000</v>
      </c>
      <c r="F62" s="30">
        <v>657.72</v>
      </c>
      <c r="G62" s="31">
        <v>7.4782800000000003E-3</v>
      </c>
      <c r="H62" s="24" t="s">
        <v>146</v>
      </c>
    </row>
    <row r="63" spans="1:8" ht="25.5" x14ac:dyDescent="0.2">
      <c r="A63" s="27">
        <v>57</v>
      </c>
      <c r="B63" s="28" t="s">
        <v>686</v>
      </c>
      <c r="C63" s="28" t="s">
        <v>687</v>
      </c>
      <c r="D63" s="28" t="s">
        <v>198</v>
      </c>
      <c r="E63" s="29">
        <v>10000</v>
      </c>
      <c r="F63" s="30">
        <v>552.51499999999999</v>
      </c>
      <c r="G63" s="31">
        <v>6.2820999999999997E-3</v>
      </c>
      <c r="H63" s="24" t="s">
        <v>146</v>
      </c>
    </row>
    <row r="64" spans="1:8" x14ac:dyDescent="0.2">
      <c r="A64" s="27">
        <v>58</v>
      </c>
      <c r="B64" s="28" t="s">
        <v>488</v>
      </c>
      <c r="C64" s="28" t="s">
        <v>489</v>
      </c>
      <c r="D64" s="28" t="s">
        <v>354</v>
      </c>
      <c r="E64" s="29">
        <v>36000</v>
      </c>
      <c r="F64" s="30">
        <v>523.60199999999998</v>
      </c>
      <c r="G64" s="31">
        <v>5.9533600000000004E-3</v>
      </c>
      <c r="H64" s="24" t="s">
        <v>146</v>
      </c>
    </row>
    <row r="65" spans="1:8" x14ac:dyDescent="0.2">
      <c r="A65" s="27">
        <v>59</v>
      </c>
      <c r="B65" s="28" t="s">
        <v>427</v>
      </c>
      <c r="C65" s="28" t="s">
        <v>428</v>
      </c>
      <c r="D65" s="28" t="s">
        <v>42</v>
      </c>
      <c r="E65" s="29">
        <v>12740</v>
      </c>
      <c r="F65" s="30">
        <v>151.18557999999999</v>
      </c>
      <c r="G65" s="31">
        <v>1.7189799999999999E-3</v>
      </c>
      <c r="H65" s="24" t="s">
        <v>146</v>
      </c>
    </row>
    <row r="66" spans="1:8" x14ac:dyDescent="0.2">
      <c r="A66" s="25"/>
      <c r="B66" s="25"/>
      <c r="C66" s="26" t="s">
        <v>145</v>
      </c>
      <c r="D66" s="25"/>
      <c r="E66" s="25" t="s">
        <v>146</v>
      </c>
      <c r="F66" s="32">
        <f>SUM(F7:F65)</f>
        <v>83888.680600000007</v>
      </c>
      <c r="G66" s="33">
        <f>SUM(G7:G65)</f>
        <v>0.95381501000000013</v>
      </c>
      <c r="H66" s="24" t="s">
        <v>146</v>
      </c>
    </row>
    <row r="67" spans="1:8" x14ac:dyDescent="0.2">
      <c r="A67" s="25"/>
      <c r="B67" s="25"/>
      <c r="C67" s="34"/>
      <c r="D67" s="25"/>
      <c r="E67" s="25"/>
      <c r="F67" s="35"/>
      <c r="G67" s="35"/>
      <c r="H67" s="24" t="s">
        <v>146</v>
      </c>
    </row>
    <row r="68" spans="1:8" x14ac:dyDescent="0.2">
      <c r="A68" s="25"/>
      <c r="B68" s="25"/>
      <c r="C68" s="26" t="s">
        <v>147</v>
      </c>
      <c r="D68" s="25"/>
      <c r="E68" s="25"/>
      <c r="F68" s="25"/>
      <c r="G68" s="25"/>
      <c r="H68" s="24" t="s">
        <v>146</v>
      </c>
    </row>
    <row r="69" spans="1:8" x14ac:dyDescent="0.2">
      <c r="A69" s="25"/>
      <c r="B69" s="25"/>
      <c r="C69" s="26" t="s">
        <v>145</v>
      </c>
      <c r="D69" s="25"/>
      <c r="E69" s="25" t="s">
        <v>146</v>
      </c>
      <c r="F69" s="36" t="s">
        <v>148</v>
      </c>
      <c r="G69" s="33">
        <v>0</v>
      </c>
      <c r="H69" s="24" t="s">
        <v>146</v>
      </c>
    </row>
    <row r="70" spans="1:8" x14ac:dyDescent="0.2">
      <c r="A70" s="25"/>
      <c r="B70" s="25"/>
      <c r="C70" s="34"/>
      <c r="D70" s="25"/>
      <c r="E70" s="25"/>
      <c r="F70" s="35"/>
      <c r="G70" s="35"/>
      <c r="H70" s="24" t="s">
        <v>146</v>
      </c>
    </row>
    <row r="71" spans="1:8" x14ac:dyDescent="0.2">
      <c r="A71" s="25"/>
      <c r="B71" s="25"/>
      <c r="C71" s="26" t="s">
        <v>149</v>
      </c>
      <c r="D71" s="25"/>
      <c r="E71" s="25"/>
      <c r="F71" s="25"/>
      <c r="G71" s="25"/>
      <c r="H71" s="24" t="s">
        <v>146</v>
      </c>
    </row>
    <row r="72" spans="1:8" x14ac:dyDescent="0.2">
      <c r="A72" s="27">
        <v>1</v>
      </c>
      <c r="B72" s="28" t="s">
        <v>689</v>
      </c>
      <c r="C72" s="37" t="s">
        <v>971</v>
      </c>
      <c r="D72" s="28"/>
      <c r="E72" s="29">
        <v>200000</v>
      </c>
      <c r="F72" s="30">
        <v>1.9999999999999999E-6</v>
      </c>
      <c r="G72" s="38" t="s">
        <v>144</v>
      </c>
      <c r="H72" s="24" t="s">
        <v>146</v>
      </c>
    </row>
    <row r="73" spans="1:8" x14ac:dyDescent="0.2">
      <c r="A73" s="27">
        <v>2</v>
      </c>
      <c r="B73" s="28" t="s">
        <v>691</v>
      </c>
      <c r="C73" s="37" t="s">
        <v>972</v>
      </c>
      <c r="D73" s="28"/>
      <c r="E73" s="29">
        <v>50000</v>
      </c>
      <c r="F73" s="30">
        <v>4.9999999999999998E-7</v>
      </c>
      <c r="G73" s="38" t="s">
        <v>144</v>
      </c>
      <c r="H73" s="24" t="s">
        <v>146</v>
      </c>
    </row>
    <row r="74" spans="1:8" x14ac:dyDescent="0.2">
      <c r="A74" s="27">
        <v>3</v>
      </c>
      <c r="B74" s="28" t="s">
        <v>688</v>
      </c>
      <c r="C74" s="37" t="s">
        <v>973</v>
      </c>
      <c r="D74" s="28"/>
      <c r="E74" s="29">
        <v>50000</v>
      </c>
      <c r="F74" s="30">
        <v>4.9999999999999998E-7</v>
      </c>
      <c r="G74" s="38" t="s">
        <v>144</v>
      </c>
      <c r="H74" s="24" t="s">
        <v>146</v>
      </c>
    </row>
    <row r="75" spans="1:8" x14ac:dyDescent="0.2">
      <c r="A75" s="27">
        <v>4</v>
      </c>
      <c r="B75" s="28" t="s">
        <v>690</v>
      </c>
      <c r="C75" s="37" t="s">
        <v>974</v>
      </c>
      <c r="D75" s="28"/>
      <c r="E75" s="29">
        <v>20</v>
      </c>
      <c r="F75" s="30">
        <v>0</v>
      </c>
      <c r="G75" s="38" t="s">
        <v>144</v>
      </c>
      <c r="H75" s="24" t="s">
        <v>146</v>
      </c>
    </row>
    <row r="76" spans="1:8" x14ac:dyDescent="0.2">
      <c r="A76" s="25"/>
      <c r="B76" s="25"/>
      <c r="C76" s="26" t="s">
        <v>145</v>
      </c>
      <c r="D76" s="25"/>
      <c r="E76" s="25" t="s">
        <v>146</v>
      </c>
      <c r="F76" s="36" t="s">
        <v>148</v>
      </c>
      <c r="G76" s="33">
        <v>0</v>
      </c>
      <c r="H76" s="24" t="s">
        <v>146</v>
      </c>
    </row>
    <row r="77" spans="1:8" x14ac:dyDescent="0.2">
      <c r="A77" s="25"/>
      <c r="B77" s="25"/>
      <c r="C77" s="34"/>
      <c r="D77" s="25"/>
      <c r="E77" s="25"/>
      <c r="F77" s="35"/>
      <c r="G77" s="35"/>
      <c r="H77" s="24" t="s">
        <v>146</v>
      </c>
    </row>
    <row r="78" spans="1:8" x14ac:dyDescent="0.2">
      <c r="A78" s="25"/>
      <c r="B78" s="25"/>
      <c r="C78" s="26" t="s">
        <v>150</v>
      </c>
      <c r="D78" s="25"/>
      <c r="E78" s="25"/>
      <c r="F78" s="25"/>
      <c r="G78" s="25"/>
      <c r="H78" s="24" t="s">
        <v>146</v>
      </c>
    </row>
    <row r="79" spans="1:8" x14ac:dyDescent="0.2">
      <c r="A79" s="25"/>
      <c r="B79" s="25"/>
      <c r="C79" s="26" t="s">
        <v>145</v>
      </c>
      <c r="D79" s="25"/>
      <c r="E79" s="25" t="s">
        <v>146</v>
      </c>
      <c r="F79" s="36" t="s">
        <v>148</v>
      </c>
      <c r="G79" s="33">
        <v>0</v>
      </c>
      <c r="H79" s="24" t="s">
        <v>146</v>
      </c>
    </row>
    <row r="80" spans="1:8" x14ac:dyDescent="0.2">
      <c r="A80" s="25"/>
      <c r="B80" s="25"/>
      <c r="C80" s="34"/>
      <c r="D80" s="25"/>
      <c r="E80" s="25"/>
      <c r="F80" s="35"/>
      <c r="G80" s="35"/>
      <c r="H80" s="24" t="s">
        <v>146</v>
      </c>
    </row>
    <row r="81" spans="1:8" x14ac:dyDescent="0.2">
      <c r="A81" s="25"/>
      <c r="B81" s="25"/>
      <c r="C81" s="26" t="s">
        <v>151</v>
      </c>
      <c r="D81" s="25"/>
      <c r="E81" s="25"/>
      <c r="F81" s="35"/>
      <c r="G81" s="35"/>
      <c r="H81" s="24" t="s">
        <v>146</v>
      </c>
    </row>
    <row r="82" spans="1:8" x14ac:dyDescent="0.2">
      <c r="A82" s="25"/>
      <c r="B82" s="25"/>
      <c r="C82" s="26" t="s">
        <v>145</v>
      </c>
      <c r="D82" s="25"/>
      <c r="E82" s="25" t="s">
        <v>146</v>
      </c>
      <c r="F82" s="36" t="s">
        <v>148</v>
      </c>
      <c r="G82" s="33">
        <v>0</v>
      </c>
      <c r="H82" s="24" t="s">
        <v>146</v>
      </c>
    </row>
    <row r="83" spans="1:8" x14ac:dyDescent="0.2">
      <c r="A83" s="25"/>
      <c r="B83" s="25"/>
      <c r="C83" s="34"/>
      <c r="D83" s="25"/>
      <c r="E83" s="25"/>
      <c r="F83" s="35"/>
      <c r="G83" s="35"/>
      <c r="H83" s="24" t="s">
        <v>146</v>
      </c>
    </row>
    <row r="84" spans="1:8" x14ac:dyDescent="0.2">
      <c r="A84" s="25"/>
      <c r="B84" s="25"/>
      <c r="C84" s="26" t="s">
        <v>152</v>
      </c>
      <c r="D84" s="25"/>
      <c r="E84" s="25"/>
      <c r="F84" s="35"/>
      <c r="G84" s="35"/>
      <c r="H84" s="24" t="s">
        <v>146</v>
      </c>
    </row>
    <row r="85" spans="1:8" x14ac:dyDescent="0.2">
      <c r="A85" s="25"/>
      <c r="B85" s="25"/>
      <c r="C85" s="26" t="s">
        <v>145</v>
      </c>
      <c r="D85" s="25"/>
      <c r="E85" s="25" t="s">
        <v>146</v>
      </c>
      <c r="F85" s="36" t="s">
        <v>148</v>
      </c>
      <c r="G85" s="33">
        <v>0</v>
      </c>
      <c r="H85" s="24" t="s">
        <v>146</v>
      </c>
    </row>
    <row r="86" spans="1:8" x14ac:dyDescent="0.2">
      <c r="A86" s="25"/>
      <c r="B86" s="25"/>
      <c r="C86" s="34"/>
      <c r="D86" s="25"/>
      <c r="E86" s="25"/>
      <c r="F86" s="35"/>
      <c r="G86" s="35"/>
      <c r="H86" s="24" t="s">
        <v>146</v>
      </c>
    </row>
    <row r="87" spans="1:8" x14ac:dyDescent="0.2">
      <c r="A87" s="25"/>
      <c r="B87" s="25"/>
      <c r="C87" s="26" t="s">
        <v>153</v>
      </c>
      <c r="D87" s="25"/>
      <c r="E87" s="25"/>
      <c r="F87" s="32">
        <v>83888.680603000001</v>
      </c>
      <c r="G87" s="33">
        <v>0.95381501000000002</v>
      </c>
      <c r="H87" s="24" t="s">
        <v>146</v>
      </c>
    </row>
    <row r="88" spans="1:8" x14ac:dyDescent="0.2">
      <c r="A88" s="25"/>
      <c r="B88" s="25"/>
      <c r="C88" s="34"/>
      <c r="D88" s="25"/>
      <c r="E88" s="25"/>
      <c r="F88" s="35"/>
      <c r="G88" s="35"/>
      <c r="H88" s="24" t="s">
        <v>146</v>
      </c>
    </row>
    <row r="89" spans="1:8" x14ac:dyDescent="0.2">
      <c r="A89" s="25"/>
      <c r="B89" s="25"/>
      <c r="C89" s="26" t="s">
        <v>154</v>
      </c>
      <c r="D89" s="25"/>
      <c r="E89" s="25"/>
      <c r="F89" s="35"/>
      <c r="G89" s="35"/>
      <c r="H89" s="24" t="s">
        <v>146</v>
      </c>
    </row>
    <row r="90" spans="1:8" x14ac:dyDescent="0.2">
      <c r="A90" s="25"/>
      <c r="B90" s="25"/>
      <c r="C90" s="26" t="s">
        <v>10</v>
      </c>
      <c r="D90" s="25"/>
      <c r="E90" s="25"/>
      <c r="F90" s="35"/>
      <c r="G90" s="35"/>
      <c r="H90" s="24" t="s">
        <v>146</v>
      </c>
    </row>
    <row r="91" spans="1:8" x14ac:dyDescent="0.2">
      <c r="A91" s="25"/>
      <c r="B91" s="25"/>
      <c r="C91" s="26" t="s">
        <v>145</v>
      </c>
      <c r="D91" s="25"/>
      <c r="E91" s="25" t="s">
        <v>146</v>
      </c>
      <c r="F91" s="36" t="s">
        <v>148</v>
      </c>
      <c r="G91" s="33">
        <v>0</v>
      </c>
      <c r="H91" s="24" t="s">
        <v>146</v>
      </c>
    </row>
    <row r="92" spans="1:8" x14ac:dyDescent="0.2">
      <c r="A92" s="25"/>
      <c r="B92" s="25"/>
      <c r="C92" s="34"/>
      <c r="D92" s="25"/>
      <c r="E92" s="25"/>
      <c r="F92" s="35"/>
      <c r="G92" s="35"/>
      <c r="H92" s="24" t="s">
        <v>146</v>
      </c>
    </row>
    <row r="93" spans="1:8" x14ac:dyDescent="0.2">
      <c r="A93" s="25"/>
      <c r="B93" s="25"/>
      <c r="C93" s="26" t="s">
        <v>155</v>
      </c>
      <c r="D93" s="25"/>
      <c r="E93" s="25"/>
      <c r="F93" s="25"/>
      <c r="G93" s="25"/>
      <c r="H93" s="24" t="s">
        <v>146</v>
      </c>
    </row>
    <row r="94" spans="1:8" x14ac:dyDescent="0.2">
      <c r="A94" s="25"/>
      <c r="B94" s="25"/>
      <c r="C94" s="26" t="s">
        <v>145</v>
      </c>
      <c r="D94" s="25"/>
      <c r="E94" s="25" t="s">
        <v>146</v>
      </c>
      <c r="F94" s="36" t="s">
        <v>148</v>
      </c>
      <c r="G94" s="33">
        <v>0</v>
      </c>
      <c r="H94" s="24" t="s">
        <v>146</v>
      </c>
    </row>
    <row r="95" spans="1:8" x14ac:dyDescent="0.2">
      <c r="A95" s="25"/>
      <c r="B95" s="25"/>
      <c r="C95" s="34"/>
      <c r="D95" s="25"/>
      <c r="E95" s="25"/>
      <c r="F95" s="35"/>
      <c r="G95" s="35"/>
      <c r="H95" s="24" t="s">
        <v>146</v>
      </c>
    </row>
    <row r="96" spans="1:8" x14ac:dyDescent="0.2">
      <c r="A96" s="25"/>
      <c r="B96" s="25"/>
      <c r="C96" s="26" t="s">
        <v>156</v>
      </c>
      <c r="D96" s="25"/>
      <c r="E96" s="25"/>
      <c r="F96" s="25"/>
      <c r="G96" s="25"/>
      <c r="H96" s="24" t="s">
        <v>146</v>
      </c>
    </row>
    <row r="97" spans="1:8" x14ac:dyDescent="0.2">
      <c r="A97" s="25"/>
      <c r="B97" s="25"/>
      <c r="C97" s="26" t="s">
        <v>145</v>
      </c>
      <c r="D97" s="25"/>
      <c r="E97" s="25" t="s">
        <v>146</v>
      </c>
      <c r="F97" s="36" t="s">
        <v>148</v>
      </c>
      <c r="G97" s="33">
        <v>0</v>
      </c>
      <c r="H97" s="24" t="s">
        <v>146</v>
      </c>
    </row>
    <row r="98" spans="1:8" x14ac:dyDescent="0.2">
      <c r="A98" s="25"/>
      <c r="B98" s="25"/>
      <c r="C98" s="34"/>
      <c r="D98" s="25"/>
      <c r="E98" s="25"/>
      <c r="F98" s="35"/>
      <c r="G98" s="35"/>
      <c r="H98" s="24" t="s">
        <v>146</v>
      </c>
    </row>
    <row r="99" spans="1:8" x14ac:dyDescent="0.2">
      <c r="A99" s="25"/>
      <c r="B99" s="25"/>
      <c r="C99" s="26" t="s">
        <v>157</v>
      </c>
      <c r="D99" s="25"/>
      <c r="E99" s="25"/>
      <c r="F99" s="35"/>
      <c r="G99" s="35"/>
      <c r="H99" s="24" t="s">
        <v>146</v>
      </c>
    </row>
    <row r="100" spans="1:8" x14ac:dyDescent="0.2">
      <c r="A100" s="25"/>
      <c r="B100" s="25"/>
      <c r="C100" s="26" t="s">
        <v>145</v>
      </c>
      <c r="D100" s="25"/>
      <c r="E100" s="25" t="s">
        <v>146</v>
      </c>
      <c r="F100" s="36" t="s">
        <v>148</v>
      </c>
      <c r="G100" s="33">
        <v>0</v>
      </c>
      <c r="H100" s="24" t="s">
        <v>146</v>
      </c>
    </row>
    <row r="101" spans="1:8" x14ac:dyDescent="0.2">
      <c r="A101" s="25"/>
      <c r="B101" s="25"/>
      <c r="C101" s="34"/>
      <c r="D101" s="25"/>
      <c r="E101" s="25"/>
      <c r="F101" s="35"/>
      <c r="G101" s="35"/>
      <c r="H101" s="24" t="s">
        <v>146</v>
      </c>
    </row>
    <row r="102" spans="1:8" x14ac:dyDescent="0.2">
      <c r="A102" s="25"/>
      <c r="B102" s="25"/>
      <c r="C102" s="26" t="s">
        <v>158</v>
      </c>
      <c r="D102" s="25"/>
      <c r="E102" s="25"/>
      <c r="F102" s="32">
        <v>0</v>
      </c>
      <c r="G102" s="33">
        <v>0</v>
      </c>
      <c r="H102" s="24" t="s">
        <v>146</v>
      </c>
    </row>
    <row r="103" spans="1:8" x14ac:dyDescent="0.2">
      <c r="A103" s="25"/>
      <c r="B103" s="25"/>
      <c r="C103" s="34"/>
      <c r="D103" s="25"/>
      <c r="E103" s="25"/>
      <c r="F103" s="35"/>
      <c r="G103" s="35"/>
      <c r="H103" s="24" t="s">
        <v>146</v>
      </c>
    </row>
    <row r="104" spans="1:8" x14ac:dyDescent="0.2">
      <c r="A104" s="25"/>
      <c r="B104" s="25"/>
      <c r="C104" s="26" t="s">
        <v>159</v>
      </c>
      <c r="D104" s="25"/>
      <c r="E104" s="25"/>
      <c r="F104" s="35"/>
      <c r="G104" s="35"/>
      <c r="H104" s="24" t="s">
        <v>146</v>
      </c>
    </row>
    <row r="105" spans="1:8" x14ac:dyDescent="0.2">
      <c r="A105" s="25"/>
      <c r="B105" s="25"/>
      <c r="C105" s="26" t="s">
        <v>160</v>
      </c>
      <c r="D105" s="25"/>
      <c r="E105" s="25"/>
      <c r="F105" s="35"/>
      <c r="G105" s="35"/>
      <c r="H105" s="24" t="s">
        <v>146</v>
      </c>
    </row>
    <row r="106" spans="1:8" x14ac:dyDescent="0.2">
      <c r="A106" s="25"/>
      <c r="B106" s="25"/>
      <c r="C106" s="26" t="s">
        <v>145</v>
      </c>
      <c r="D106" s="25"/>
      <c r="E106" s="25" t="s">
        <v>146</v>
      </c>
      <c r="F106" s="36" t="s">
        <v>148</v>
      </c>
      <c r="G106" s="33">
        <v>0</v>
      </c>
      <c r="H106" s="24" t="s">
        <v>146</v>
      </c>
    </row>
    <row r="107" spans="1:8" x14ac:dyDescent="0.2">
      <c r="A107" s="25"/>
      <c r="B107" s="25"/>
      <c r="C107" s="34"/>
      <c r="D107" s="25"/>
      <c r="E107" s="25"/>
      <c r="F107" s="35"/>
      <c r="G107" s="35"/>
      <c r="H107" s="24" t="s">
        <v>146</v>
      </c>
    </row>
    <row r="108" spans="1:8" x14ac:dyDescent="0.2">
      <c r="A108" s="25"/>
      <c r="B108" s="25"/>
      <c r="C108" s="26" t="s">
        <v>161</v>
      </c>
      <c r="D108" s="25"/>
      <c r="E108" s="25"/>
      <c r="F108" s="35"/>
      <c r="G108" s="35"/>
      <c r="H108" s="24" t="s">
        <v>146</v>
      </c>
    </row>
    <row r="109" spans="1:8" x14ac:dyDescent="0.2">
      <c r="A109" s="25"/>
      <c r="B109" s="25"/>
      <c r="C109" s="26" t="s">
        <v>145</v>
      </c>
      <c r="D109" s="25"/>
      <c r="E109" s="25" t="s">
        <v>146</v>
      </c>
      <c r="F109" s="36" t="s">
        <v>148</v>
      </c>
      <c r="G109" s="33">
        <v>0</v>
      </c>
      <c r="H109" s="24" t="s">
        <v>146</v>
      </c>
    </row>
    <row r="110" spans="1:8" x14ac:dyDescent="0.2">
      <c r="A110" s="25"/>
      <c r="B110" s="25"/>
      <c r="C110" s="34"/>
      <c r="D110" s="25"/>
      <c r="E110" s="25"/>
      <c r="F110" s="35"/>
      <c r="G110" s="35"/>
      <c r="H110" s="24" t="s">
        <v>146</v>
      </c>
    </row>
    <row r="111" spans="1:8" x14ac:dyDescent="0.2">
      <c r="A111" s="25"/>
      <c r="B111" s="25"/>
      <c r="C111" s="26" t="s">
        <v>162</v>
      </c>
      <c r="D111" s="25"/>
      <c r="E111" s="25"/>
      <c r="F111" s="35"/>
      <c r="G111" s="35"/>
      <c r="H111" s="24" t="s">
        <v>146</v>
      </c>
    </row>
    <row r="112" spans="1:8" x14ac:dyDescent="0.2">
      <c r="A112" s="25"/>
      <c r="B112" s="25"/>
      <c r="C112" s="26" t="s">
        <v>145</v>
      </c>
      <c r="D112" s="25"/>
      <c r="E112" s="25" t="s">
        <v>146</v>
      </c>
      <c r="F112" s="36" t="s">
        <v>148</v>
      </c>
      <c r="G112" s="33">
        <v>0</v>
      </c>
      <c r="H112" s="24" t="s">
        <v>146</v>
      </c>
    </row>
    <row r="113" spans="1:8" x14ac:dyDescent="0.2">
      <c r="A113" s="25"/>
      <c r="B113" s="25"/>
      <c r="C113" s="34"/>
      <c r="D113" s="25"/>
      <c r="E113" s="25"/>
      <c r="F113" s="35"/>
      <c r="G113" s="35"/>
      <c r="H113" s="24" t="s">
        <v>146</v>
      </c>
    </row>
    <row r="114" spans="1:8" x14ac:dyDescent="0.2">
      <c r="A114" s="25"/>
      <c r="B114" s="25"/>
      <c r="C114" s="26" t="s">
        <v>163</v>
      </c>
      <c r="D114" s="25"/>
      <c r="E114" s="25"/>
      <c r="F114" s="35"/>
      <c r="G114" s="35"/>
      <c r="H114" s="24" t="s">
        <v>146</v>
      </c>
    </row>
    <row r="115" spans="1:8" x14ac:dyDescent="0.2">
      <c r="A115" s="27">
        <v>1</v>
      </c>
      <c r="B115" s="28"/>
      <c r="C115" s="28" t="s">
        <v>164</v>
      </c>
      <c r="D115" s="28"/>
      <c r="E115" s="38"/>
      <c r="F115" s="30">
        <v>3652.5889705139998</v>
      </c>
      <c r="G115" s="31">
        <v>4.1529969999999999E-2</v>
      </c>
      <c r="H115" s="24">
        <v>6.57</v>
      </c>
    </row>
    <row r="116" spans="1:8" x14ac:dyDescent="0.2">
      <c r="A116" s="25"/>
      <c r="B116" s="25"/>
      <c r="C116" s="26" t="s">
        <v>145</v>
      </c>
      <c r="D116" s="25"/>
      <c r="E116" s="25" t="s">
        <v>146</v>
      </c>
      <c r="F116" s="32">
        <v>3652.5889705139998</v>
      </c>
      <c r="G116" s="33">
        <v>4.1529969999999999E-2</v>
      </c>
      <c r="H116" s="24" t="s">
        <v>146</v>
      </c>
    </row>
    <row r="117" spans="1:8" x14ac:dyDescent="0.2">
      <c r="A117" s="25"/>
      <c r="B117" s="25"/>
      <c r="C117" s="34"/>
      <c r="D117" s="25"/>
      <c r="E117" s="25"/>
      <c r="F117" s="35"/>
      <c r="G117" s="35"/>
      <c r="H117" s="24" t="s">
        <v>146</v>
      </c>
    </row>
    <row r="118" spans="1:8" x14ac:dyDescent="0.2">
      <c r="A118" s="25"/>
      <c r="B118" s="25"/>
      <c r="C118" s="26" t="s">
        <v>165</v>
      </c>
      <c r="D118" s="25"/>
      <c r="E118" s="25"/>
      <c r="F118" s="32">
        <v>3652.5889705139998</v>
      </c>
      <c r="G118" s="33">
        <v>4.1529969999999999E-2</v>
      </c>
      <c r="H118" s="24" t="s">
        <v>146</v>
      </c>
    </row>
    <row r="119" spans="1:8" x14ac:dyDescent="0.2">
      <c r="A119" s="25"/>
      <c r="B119" s="25"/>
      <c r="C119" s="35"/>
      <c r="D119" s="25"/>
      <c r="E119" s="25"/>
      <c r="F119" s="25"/>
      <c r="G119" s="25"/>
      <c r="H119" s="24" t="s">
        <v>146</v>
      </c>
    </row>
    <row r="120" spans="1:8" x14ac:dyDescent="0.2">
      <c r="A120" s="25"/>
      <c r="B120" s="25"/>
      <c r="C120" s="26" t="s">
        <v>166</v>
      </c>
      <c r="D120" s="25"/>
      <c r="E120" s="25"/>
      <c r="F120" s="25"/>
      <c r="G120" s="25"/>
      <c r="H120" s="24" t="s">
        <v>146</v>
      </c>
    </row>
    <row r="121" spans="1:8" x14ac:dyDescent="0.2">
      <c r="A121" s="25"/>
      <c r="B121" s="25"/>
      <c r="C121" s="26" t="s">
        <v>167</v>
      </c>
      <c r="D121" s="25"/>
      <c r="E121" s="25"/>
      <c r="F121" s="25"/>
      <c r="G121" s="25"/>
      <c r="H121" s="24" t="s">
        <v>146</v>
      </c>
    </row>
    <row r="122" spans="1:8" x14ac:dyDescent="0.2">
      <c r="A122" s="25"/>
      <c r="B122" s="25"/>
      <c r="C122" s="26" t="s">
        <v>145</v>
      </c>
      <c r="D122" s="25"/>
      <c r="E122" s="25" t="s">
        <v>146</v>
      </c>
      <c r="F122" s="36" t="s">
        <v>148</v>
      </c>
      <c r="G122" s="33">
        <v>0</v>
      </c>
      <c r="H122" s="24" t="s">
        <v>146</v>
      </c>
    </row>
    <row r="123" spans="1:8" x14ac:dyDescent="0.2">
      <c r="A123" s="25"/>
      <c r="B123" s="25"/>
      <c r="C123" s="34"/>
      <c r="D123" s="25"/>
      <c r="E123" s="25"/>
      <c r="F123" s="35"/>
      <c r="G123" s="35"/>
      <c r="H123" s="24" t="s">
        <v>146</v>
      </c>
    </row>
    <row r="124" spans="1:8" x14ac:dyDescent="0.2">
      <c r="A124" s="25"/>
      <c r="B124" s="25"/>
      <c r="C124" s="26" t="s">
        <v>168</v>
      </c>
      <c r="D124" s="25"/>
      <c r="E124" s="25"/>
      <c r="F124" s="25"/>
      <c r="G124" s="25"/>
      <c r="H124" s="24" t="s">
        <v>146</v>
      </c>
    </row>
    <row r="125" spans="1:8" x14ac:dyDescent="0.2">
      <c r="A125" s="25"/>
      <c r="B125" s="25"/>
      <c r="C125" s="26" t="s">
        <v>169</v>
      </c>
      <c r="D125" s="25"/>
      <c r="E125" s="25"/>
      <c r="F125" s="25"/>
      <c r="G125" s="25"/>
      <c r="H125" s="24" t="s">
        <v>146</v>
      </c>
    </row>
    <row r="126" spans="1:8" x14ac:dyDescent="0.2">
      <c r="A126" s="25"/>
      <c r="B126" s="25"/>
      <c r="C126" s="26" t="s">
        <v>145</v>
      </c>
      <c r="D126" s="25"/>
      <c r="E126" s="25" t="s">
        <v>146</v>
      </c>
      <c r="F126" s="36" t="s">
        <v>148</v>
      </c>
      <c r="G126" s="33">
        <v>0</v>
      </c>
      <c r="H126" s="24" t="s">
        <v>146</v>
      </c>
    </row>
    <row r="127" spans="1:8" x14ac:dyDescent="0.2">
      <c r="A127" s="25"/>
      <c r="B127" s="25"/>
      <c r="C127" s="34"/>
      <c r="D127" s="25"/>
      <c r="E127" s="25"/>
      <c r="F127" s="35"/>
      <c r="G127" s="35"/>
      <c r="H127" s="24" t="s">
        <v>146</v>
      </c>
    </row>
    <row r="128" spans="1:8" x14ac:dyDescent="0.2">
      <c r="A128" s="25"/>
      <c r="B128" s="25"/>
      <c r="C128" s="26" t="s">
        <v>170</v>
      </c>
      <c r="D128" s="25"/>
      <c r="E128" s="25"/>
      <c r="F128" s="35"/>
      <c r="G128" s="35"/>
      <c r="H128" s="24" t="s">
        <v>146</v>
      </c>
    </row>
    <row r="129" spans="1:17" x14ac:dyDescent="0.2">
      <c r="A129" s="25"/>
      <c r="B129" s="25"/>
      <c r="C129" s="26" t="s">
        <v>145</v>
      </c>
      <c r="D129" s="25"/>
      <c r="E129" s="25" t="s">
        <v>146</v>
      </c>
      <c r="F129" s="36" t="s">
        <v>148</v>
      </c>
      <c r="G129" s="33">
        <v>0</v>
      </c>
      <c r="H129" s="24" t="s">
        <v>146</v>
      </c>
    </row>
    <row r="130" spans="1:17" x14ac:dyDescent="0.2">
      <c r="A130" s="25"/>
      <c r="B130" s="25"/>
      <c r="C130" s="34"/>
      <c r="D130" s="25"/>
      <c r="E130" s="25"/>
      <c r="F130" s="35"/>
      <c r="G130" s="35"/>
      <c r="H130" s="24" t="s">
        <v>146</v>
      </c>
    </row>
    <row r="131" spans="1:17" x14ac:dyDescent="0.2">
      <c r="A131" s="38"/>
      <c r="B131" s="28"/>
      <c r="C131" s="37" t="s">
        <v>884</v>
      </c>
      <c r="D131" s="28"/>
      <c r="E131" s="38"/>
      <c r="F131" s="30">
        <v>409.41436936000002</v>
      </c>
      <c r="G131" s="31">
        <v>4.65505E-3</v>
      </c>
      <c r="H131" s="24" t="s">
        <v>146</v>
      </c>
    </row>
    <row r="132" spans="1:17" x14ac:dyDescent="0.2">
      <c r="A132" s="34"/>
      <c r="B132" s="34"/>
      <c r="C132" s="26" t="s">
        <v>172</v>
      </c>
      <c r="D132" s="35"/>
      <c r="E132" s="35"/>
      <c r="F132" s="32">
        <v>87950.683942874006</v>
      </c>
      <c r="G132" s="39">
        <v>1.00000003</v>
      </c>
      <c r="H132" s="24" t="s">
        <v>146</v>
      </c>
    </row>
    <row r="133" spans="1:17" x14ac:dyDescent="0.2">
      <c r="A133" s="40"/>
      <c r="B133" s="40"/>
      <c r="C133" s="40"/>
      <c r="D133" s="41"/>
      <c r="E133" s="41"/>
      <c r="F133" s="41"/>
      <c r="G133" s="41"/>
    </row>
    <row r="134" spans="1:17" x14ac:dyDescent="0.2">
      <c r="A134" s="42"/>
      <c r="B134" s="236" t="s">
        <v>858</v>
      </c>
      <c r="C134" s="236"/>
      <c r="D134" s="236"/>
      <c r="E134" s="236"/>
      <c r="F134" s="236"/>
      <c r="G134" s="236"/>
      <c r="H134" s="236"/>
      <c r="J134" s="44"/>
    </row>
    <row r="135" spans="1:17" x14ac:dyDescent="0.2">
      <c r="A135" s="42"/>
      <c r="B135" s="236" t="s">
        <v>859</v>
      </c>
      <c r="C135" s="236"/>
      <c r="D135" s="236"/>
      <c r="E135" s="236"/>
      <c r="F135" s="236"/>
      <c r="G135" s="236"/>
      <c r="H135" s="236"/>
      <c r="J135" s="44"/>
    </row>
    <row r="136" spans="1:17" x14ac:dyDescent="0.2">
      <c r="A136" s="42"/>
      <c r="B136" s="236" t="s">
        <v>860</v>
      </c>
      <c r="C136" s="236"/>
      <c r="D136" s="236"/>
      <c r="E136" s="236"/>
      <c r="F136" s="236"/>
      <c r="G136" s="236"/>
      <c r="H136" s="236"/>
      <c r="J136" s="44"/>
    </row>
    <row r="137" spans="1:17" s="46" customFormat="1" ht="65.25" customHeight="1" x14ac:dyDescent="0.25">
      <c r="A137" s="45"/>
      <c r="B137" s="237" t="s">
        <v>861</v>
      </c>
      <c r="C137" s="237"/>
      <c r="D137" s="237"/>
      <c r="E137" s="237"/>
      <c r="F137" s="237"/>
      <c r="G137" s="237"/>
      <c r="H137" s="237"/>
      <c r="I137"/>
      <c r="J137" s="44"/>
      <c r="K137"/>
      <c r="L137"/>
      <c r="M137"/>
      <c r="N137"/>
      <c r="O137"/>
      <c r="P137"/>
      <c r="Q137"/>
    </row>
    <row r="138" spans="1:17" x14ac:dyDescent="0.2">
      <c r="A138" s="42"/>
      <c r="B138" s="236" t="s">
        <v>862</v>
      </c>
      <c r="C138" s="236"/>
      <c r="D138" s="236"/>
      <c r="E138" s="236"/>
      <c r="F138" s="236"/>
      <c r="G138" s="236"/>
      <c r="H138" s="236"/>
      <c r="J138" s="44"/>
    </row>
    <row r="139" spans="1:17" x14ac:dyDescent="0.2">
      <c r="A139" s="47"/>
      <c r="B139" s="47"/>
      <c r="C139" s="47"/>
      <c r="D139" s="48"/>
      <c r="E139" s="48"/>
      <c r="F139" s="48"/>
      <c r="G139" s="48"/>
    </row>
    <row r="140" spans="1:17" x14ac:dyDescent="0.2">
      <c r="A140" s="47"/>
      <c r="B140" s="233" t="s">
        <v>173</v>
      </c>
      <c r="C140" s="234"/>
      <c r="D140" s="235"/>
      <c r="E140" s="49"/>
      <c r="F140" s="48"/>
      <c r="G140" s="48"/>
    </row>
    <row r="141" spans="1:17" ht="24" customHeight="1" x14ac:dyDescent="0.2">
      <c r="A141" s="42"/>
      <c r="B141" s="227" t="s">
        <v>174</v>
      </c>
      <c r="C141" s="228"/>
      <c r="D141" s="50" t="s">
        <v>892</v>
      </c>
      <c r="E141" s="51"/>
      <c r="F141" s="52"/>
      <c r="G141" s="52"/>
    </row>
    <row r="142" spans="1:17" ht="12.75" customHeight="1" x14ac:dyDescent="0.2">
      <c r="A142" s="42"/>
      <c r="B142" s="227" t="s">
        <v>863</v>
      </c>
      <c r="C142" s="228"/>
      <c r="D142" s="50" t="str">
        <f>"Rs. "&amp;TEXT(F76+F79,"0.00")&amp;" lacs/ #"</f>
        <v>Rs. 0.00 lacs/ #</v>
      </c>
      <c r="E142" s="51"/>
      <c r="F142" s="52"/>
      <c r="G142" s="52"/>
    </row>
    <row r="143" spans="1:17" x14ac:dyDescent="0.2">
      <c r="A143" s="47"/>
      <c r="B143" s="231" t="s">
        <v>176</v>
      </c>
      <c r="C143" s="232"/>
      <c r="D143" s="35" t="s">
        <v>146</v>
      </c>
      <c r="E143" s="49"/>
      <c r="F143" s="48"/>
      <c r="G143" s="48"/>
    </row>
    <row r="144" spans="1:17" x14ac:dyDescent="0.2">
      <c r="A144" s="53"/>
      <c r="B144" s="54" t="s">
        <v>146</v>
      </c>
      <c r="C144" s="54" t="s">
        <v>864</v>
      </c>
      <c r="D144" s="54" t="s">
        <v>177</v>
      </c>
      <c r="E144" s="53"/>
      <c r="F144" s="53"/>
      <c r="G144" s="53"/>
      <c r="H144" s="53"/>
      <c r="J144" s="44"/>
    </row>
    <row r="145" spans="1:14" x14ac:dyDescent="0.2">
      <c r="A145" s="53"/>
      <c r="B145" s="55" t="s">
        <v>178</v>
      </c>
      <c r="C145" s="56">
        <v>45657</v>
      </c>
      <c r="D145" s="56">
        <v>45688</v>
      </c>
      <c r="E145" s="53"/>
      <c r="F145" s="53"/>
      <c r="G145" s="53"/>
      <c r="J145" s="44"/>
    </row>
    <row r="146" spans="1:14" x14ac:dyDescent="0.2">
      <c r="A146" s="57"/>
      <c r="B146" s="28" t="s">
        <v>179</v>
      </c>
      <c r="C146" s="58">
        <v>146.83000000000001</v>
      </c>
      <c r="D146" s="58">
        <v>141.52869999999999</v>
      </c>
      <c r="E146" s="57"/>
      <c r="F146" s="59"/>
      <c r="G146" s="60"/>
    </row>
    <row r="147" spans="1:14" ht="25.5" x14ac:dyDescent="0.2">
      <c r="A147" s="57"/>
      <c r="B147" s="28" t="s">
        <v>1027</v>
      </c>
      <c r="C147" s="58">
        <v>67.857299999999995</v>
      </c>
      <c r="D147" s="58">
        <v>65.407399999999996</v>
      </c>
      <c r="E147" s="57"/>
      <c r="F147" s="59"/>
      <c r="G147" s="60"/>
    </row>
    <row r="148" spans="1:14" x14ac:dyDescent="0.2">
      <c r="A148" s="57"/>
      <c r="B148" s="28" t="s">
        <v>180</v>
      </c>
      <c r="C148" s="58">
        <v>135.4289</v>
      </c>
      <c r="D148" s="58">
        <v>130.3991</v>
      </c>
      <c r="E148" s="57"/>
      <c r="F148" s="59"/>
      <c r="G148" s="60"/>
    </row>
    <row r="149" spans="1:14" ht="25.5" x14ac:dyDescent="0.2">
      <c r="A149" s="57"/>
      <c r="B149" s="28" t="s">
        <v>1028</v>
      </c>
      <c r="C149" s="58">
        <v>40.8033</v>
      </c>
      <c r="D149" s="58">
        <v>39.287799999999997</v>
      </c>
      <c r="E149" s="57"/>
      <c r="F149" s="59"/>
      <c r="G149" s="60"/>
    </row>
    <row r="150" spans="1:14" x14ac:dyDescent="0.2">
      <c r="A150" s="57"/>
      <c r="B150" s="57"/>
      <c r="C150" s="57"/>
      <c r="D150" s="57"/>
      <c r="E150" s="57"/>
      <c r="F150" s="57"/>
      <c r="G150" s="57"/>
    </row>
    <row r="151" spans="1:14" x14ac:dyDescent="0.2">
      <c r="A151" s="53"/>
      <c r="B151" s="227" t="s">
        <v>865</v>
      </c>
      <c r="C151" s="228"/>
      <c r="D151" s="50" t="s">
        <v>175</v>
      </c>
      <c r="E151" s="53"/>
      <c r="F151" s="53"/>
      <c r="G151" s="53"/>
    </row>
    <row r="152" spans="1:14" x14ac:dyDescent="0.2">
      <c r="A152" s="53"/>
      <c r="B152" s="74"/>
      <c r="C152" s="74"/>
      <c r="D152" s="74"/>
      <c r="E152" s="53"/>
      <c r="F152" s="53"/>
      <c r="G152" s="53"/>
    </row>
    <row r="153" spans="1:14" ht="29.1" customHeight="1" x14ac:dyDescent="0.2">
      <c r="A153" s="53"/>
      <c r="B153" s="227" t="s">
        <v>181</v>
      </c>
      <c r="C153" s="228"/>
      <c r="D153" s="50" t="s">
        <v>175</v>
      </c>
      <c r="E153" s="64"/>
      <c r="F153" s="53"/>
      <c r="G153" s="53"/>
    </row>
    <row r="154" spans="1:14" ht="29.1" customHeight="1" x14ac:dyDescent="0.2">
      <c r="A154" s="53"/>
      <c r="B154" s="227" t="s">
        <v>182</v>
      </c>
      <c r="C154" s="228"/>
      <c r="D154" s="50" t="s">
        <v>175</v>
      </c>
      <c r="E154" s="64"/>
      <c r="F154" s="53"/>
      <c r="G154" s="53"/>
    </row>
    <row r="155" spans="1:14" ht="17.100000000000001" customHeight="1" x14ac:dyDescent="0.2">
      <c r="A155" s="53"/>
      <c r="B155" s="227" t="s">
        <v>183</v>
      </c>
      <c r="C155" s="228"/>
      <c r="D155" s="50" t="s">
        <v>175</v>
      </c>
      <c r="E155" s="64"/>
      <c r="F155" s="53"/>
      <c r="G155" s="53"/>
    </row>
    <row r="156" spans="1:14" ht="17.100000000000001" customHeight="1" x14ac:dyDescent="0.2">
      <c r="A156" s="53"/>
      <c r="B156" s="227" t="s">
        <v>184</v>
      </c>
      <c r="C156" s="228"/>
      <c r="D156" s="65">
        <v>0.49177121142867464</v>
      </c>
      <c r="E156" s="53"/>
      <c r="F156" s="43"/>
      <c r="G156" s="63"/>
    </row>
    <row r="158" spans="1:14" s="89" customFormat="1" x14ac:dyDescent="0.2">
      <c r="B158" s="114" t="s">
        <v>1096</v>
      </c>
      <c r="C158" s="114"/>
      <c r="D158" s="114"/>
      <c r="E158" s="2"/>
      <c r="F158" s="3"/>
      <c r="I158"/>
      <c r="J158"/>
      <c r="K158"/>
      <c r="L158"/>
      <c r="M158"/>
      <c r="N158"/>
    </row>
    <row r="159" spans="1:14" s="89" customFormat="1" ht="63.75" x14ac:dyDescent="0.2">
      <c r="B159" s="118" t="s">
        <v>896</v>
      </c>
      <c r="C159" s="119" t="s">
        <v>897</v>
      </c>
      <c r="D159" s="119" t="s">
        <v>898</v>
      </c>
      <c r="E159" s="119" t="s">
        <v>899</v>
      </c>
      <c r="F159" s="119" t="s">
        <v>900</v>
      </c>
      <c r="I159"/>
      <c r="J159"/>
      <c r="K159"/>
      <c r="L159"/>
      <c r="M159"/>
      <c r="N159"/>
    </row>
    <row r="160" spans="1:14" s="89" customFormat="1" ht="25.5" x14ac:dyDescent="0.2">
      <c r="B160" s="120" t="s">
        <v>975</v>
      </c>
      <c r="C160" s="121" t="s">
        <v>976</v>
      </c>
      <c r="D160" s="4">
        <v>0</v>
      </c>
      <c r="E160" s="5">
        <v>0</v>
      </c>
      <c r="F160" s="122">
        <v>241.97234</v>
      </c>
      <c r="I160"/>
      <c r="J160"/>
      <c r="K160"/>
      <c r="L160"/>
      <c r="M160"/>
      <c r="N160"/>
    </row>
    <row r="161" spans="2:19" s="89" customFormat="1" ht="25.5" x14ac:dyDescent="0.2">
      <c r="B161" s="120" t="s">
        <v>977</v>
      </c>
      <c r="C161" s="121" t="s">
        <v>976</v>
      </c>
      <c r="D161" s="4">
        <v>0</v>
      </c>
      <c r="E161" s="5">
        <v>0</v>
      </c>
      <c r="F161" s="122">
        <v>23.186299999999999</v>
      </c>
      <c r="I161"/>
      <c r="J161"/>
      <c r="K161"/>
      <c r="L161"/>
      <c r="M161"/>
      <c r="N161"/>
      <c r="O161"/>
      <c r="P161"/>
      <c r="Q161"/>
      <c r="R161"/>
      <c r="S161"/>
    </row>
    <row r="163" spans="2:19" x14ac:dyDescent="0.2">
      <c r="B163" s="229" t="s">
        <v>866</v>
      </c>
      <c r="C163" s="229"/>
    </row>
    <row r="165" spans="2:19" ht="153.75" customHeight="1" x14ac:dyDescent="0.2"/>
    <row r="168" spans="2:19" x14ac:dyDescent="0.2">
      <c r="B168" s="66" t="s">
        <v>867</v>
      </c>
      <c r="C168" s="67"/>
      <c r="D168" s="66" t="s">
        <v>870</v>
      </c>
    </row>
    <row r="169" spans="2:19" x14ac:dyDescent="0.2">
      <c r="B169" s="66" t="s">
        <v>978</v>
      </c>
      <c r="D169" s="66" t="s">
        <v>1092</v>
      </c>
    </row>
    <row r="170" spans="2:19" ht="165" customHeight="1" x14ac:dyDescent="0.2"/>
    <row r="172" spans="2:19" x14ac:dyDescent="0.2">
      <c r="J172" s="21"/>
    </row>
    <row r="177" customFormat="1" x14ac:dyDescent="0.2"/>
  </sheetData>
  <mergeCells count="18">
    <mergeCell ref="B163:C163"/>
    <mergeCell ref="B136:H136"/>
    <mergeCell ref="B137:H137"/>
    <mergeCell ref="B138:H138"/>
    <mergeCell ref="B153:C153"/>
    <mergeCell ref="B154:C154"/>
    <mergeCell ref="B151:C151"/>
    <mergeCell ref="B155:C155"/>
    <mergeCell ref="B156:C156"/>
    <mergeCell ref="A1:H1"/>
    <mergeCell ref="A2:H2"/>
    <mergeCell ref="A3:H3"/>
    <mergeCell ref="B142:C142"/>
    <mergeCell ref="B143:C143"/>
    <mergeCell ref="B140:D140"/>
    <mergeCell ref="B141:C141"/>
    <mergeCell ref="B134:H134"/>
    <mergeCell ref="B135:H135"/>
  </mergeCells>
  <hyperlinks>
    <hyperlink ref="I1" location="Index!B2" display="Index" xr:uid="{C813171B-C690-4590-BCCD-B29D39D28D5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7A777-405D-429E-9530-49025E9858B6}">
  <sheetPr>
    <outlinePr summaryBelow="0" summaryRight="0"/>
  </sheetPr>
  <dimension ref="A1:Q233"/>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692</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14</v>
      </c>
      <c r="C7" s="28" t="s">
        <v>15</v>
      </c>
      <c r="D7" s="28" t="s">
        <v>16</v>
      </c>
      <c r="E7" s="29">
        <v>681500</v>
      </c>
      <c r="F7" s="30">
        <v>8621.6564999999991</v>
      </c>
      <c r="G7" s="31">
        <v>8.0805799999999997E-2</v>
      </c>
      <c r="H7" s="24" t="s">
        <v>146</v>
      </c>
    </row>
    <row r="8" spans="1:9" x14ac:dyDescent="0.2">
      <c r="A8" s="27">
        <v>2</v>
      </c>
      <c r="B8" s="28" t="s">
        <v>17</v>
      </c>
      <c r="C8" s="28" t="s">
        <v>18</v>
      </c>
      <c r="D8" s="28" t="s">
        <v>19</v>
      </c>
      <c r="E8" s="29">
        <v>329625</v>
      </c>
      <c r="F8" s="30">
        <v>5360.6913750000003</v>
      </c>
      <c r="G8" s="31">
        <v>5.0242660000000001E-2</v>
      </c>
      <c r="H8" s="24" t="s">
        <v>146</v>
      </c>
    </row>
    <row r="9" spans="1:9" x14ac:dyDescent="0.2">
      <c r="A9" s="27">
        <v>3</v>
      </c>
      <c r="B9" s="28" t="s">
        <v>329</v>
      </c>
      <c r="C9" s="28" t="s">
        <v>330</v>
      </c>
      <c r="D9" s="28" t="s">
        <v>195</v>
      </c>
      <c r="E9" s="29">
        <v>260700</v>
      </c>
      <c r="F9" s="30">
        <v>4900.6386000000002</v>
      </c>
      <c r="G9" s="31">
        <v>4.5930850000000002E-2</v>
      </c>
      <c r="H9" s="24" t="s">
        <v>146</v>
      </c>
    </row>
    <row r="10" spans="1:9" x14ac:dyDescent="0.2">
      <c r="A10" s="27">
        <v>4</v>
      </c>
      <c r="B10" s="28" t="s">
        <v>339</v>
      </c>
      <c r="C10" s="28" t="s">
        <v>340</v>
      </c>
      <c r="D10" s="28" t="s">
        <v>33</v>
      </c>
      <c r="E10" s="29">
        <v>380500</v>
      </c>
      <c r="F10" s="30">
        <v>3752.1104999999998</v>
      </c>
      <c r="G10" s="31">
        <v>3.5166360000000001E-2</v>
      </c>
      <c r="H10" s="24" t="s">
        <v>146</v>
      </c>
    </row>
    <row r="11" spans="1:9" x14ac:dyDescent="0.2">
      <c r="A11" s="27">
        <v>5</v>
      </c>
      <c r="B11" s="28" t="s">
        <v>31</v>
      </c>
      <c r="C11" s="28" t="s">
        <v>32</v>
      </c>
      <c r="D11" s="28" t="s">
        <v>33</v>
      </c>
      <c r="E11" s="29">
        <v>298800</v>
      </c>
      <c r="F11" s="30">
        <v>3743.3663999999999</v>
      </c>
      <c r="G11" s="31">
        <v>3.5084410000000003E-2</v>
      </c>
      <c r="H11" s="24" t="s">
        <v>146</v>
      </c>
    </row>
    <row r="12" spans="1:9" x14ac:dyDescent="0.2">
      <c r="A12" s="27">
        <v>6</v>
      </c>
      <c r="B12" s="28" t="s">
        <v>435</v>
      </c>
      <c r="C12" s="28" t="s">
        <v>436</v>
      </c>
      <c r="D12" s="28" t="s">
        <v>195</v>
      </c>
      <c r="E12" s="29">
        <v>191100</v>
      </c>
      <c r="F12" s="30">
        <v>3297.3349499999999</v>
      </c>
      <c r="G12" s="31">
        <v>3.0904009999999999E-2</v>
      </c>
      <c r="H12" s="24" t="s">
        <v>146</v>
      </c>
    </row>
    <row r="13" spans="1:9" x14ac:dyDescent="0.2">
      <c r="A13" s="27">
        <v>7</v>
      </c>
      <c r="B13" s="28" t="s">
        <v>532</v>
      </c>
      <c r="C13" s="28" t="s">
        <v>533</v>
      </c>
      <c r="D13" s="28" t="s">
        <v>275</v>
      </c>
      <c r="E13" s="29">
        <v>104650</v>
      </c>
      <c r="F13" s="30">
        <v>3128.878025</v>
      </c>
      <c r="G13" s="31">
        <v>2.9325159999999999E-2</v>
      </c>
      <c r="H13" s="24" t="s">
        <v>146</v>
      </c>
    </row>
    <row r="14" spans="1:9" x14ac:dyDescent="0.2">
      <c r="A14" s="27">
        <v>8</v>
      </c>
      <c r="B14" s="28" t="s">
        <v>448</v>
      </c>
      <c r="C14" s="28" t="s">
        <v>449</v>
      </c>
      <c r="D14" s="28" t="s">
        <v>33</v>
      </c>
      <c r="E14" s="29">
        <v>272000</v>
      </c>
      <c r="F14" s="30">
        <v>2696.0639999999999</v>
      </c>
      <c r="G14" s="31">
        <v>2.526865E-2</v>
      </c>
      <c r="H14" s="24" t="s">
        <v>146</v>
      </c>
    </row>
    <row r="15" spans="1:9" x14ac:dyDescent="0.2">
      <c r="A15" s="27">
        <v>9</v>
      </c>
      <c r="B15" s="28" t="s">
        <v>327</v>
      </c>
      <c r="C15" s="28" t="s">
        <v>328</v>
      </c>
      <c r="D15" s="28" t="s">
        <v>33</v>
      </c>
      <c r="E15" s="29">
        <v>155000</v>
      </c>
      <c r="F15" s="30">
        <v>2633.0625</v>
      </c>
      <c r="G15" s="31">
        <v>2.4678169999999999E-2</v>
      </c>
      <c r="H15" s="24" t="s">
        <v>146</v>
      </c>
    </row>
    <row r="16" spans="1:9" x14ac:dyDescent="0.2">
      <c r="A16" s="27">
        <v>10</v>
      </c>
      <c r="B16" s="28" t="s">
        <v>11</v>
      </c>
      <c r="C16" s="28" t="s">
        <v>12</v>
      </c>
      <c r="D16" s="28" t="s">
        <v>13</v>
      </c>
      <c r="E16" s="29">
        <v>69840</v>
      </c>
      <c r="F16" s="30">
        <v>2491.4721599999998</v>
      </c>
      <c r="G16" s="31">
        <v>2.3351130000000001E-2</v>
      </c>
      <c r="H16" s="24" t="s">
        <v>146</v>
      </c>
    </row>
    <row r="17" spans="1:8" x14ac:dyDescent="0.2">
      <c r="A17" s="27">
        <v>11</v>
      </c>
      <c r="B17" s="28" t="s">
        <v>333</v>
      </c>
      <c r="C17" s="28" t="s">
        <v>334</v>
      </c>
      <c r="D17" s="28" t="s">
        <v>33</v>
      </c>
      <c r="E17" s="29">
        <v>117600</v>
      </c>
      <c r="F17" s="30">
        <v>2235.9288000000001</v>
      </c>
      <c r="G17" s="31">
        <v>2.095607E-2</v>
      </c>
      <c r="H17" s="24" t="s">
        <v>146</v>
      </c>
    </row>
    <row r="18" spans="1:8" x14ac:dyDescent="0.2">
      <c r="A18" s="27">
        <v>12</v>
      </c>
      <c r="B18" s="28" t="s">
        <v>441</v>
      </c>
      <c r="C18" s="28" t="s">
        <v>442</v>
      </c>
      <c r="D18" s="28" t="s">
        <v>349</v>
      </c>
      <c r="E18" s="29">
        <v>88100</v>
      </c>
      <c r="F18" s="30">
        <v>2175.0128</v>
      </c>
      <c r="G18" s="31">
        <v>2.038514E-2</v>
      </c>
      <c r="H18" s="24" t="s">
        <v>146</v>
      </c>
    </row>
    <row r="19" spans="1:8" x14ac:dyDescent="0.2">
      <c r="A19" s="27">
        <v>13</v>
      </c>
      <c r="B19" s="28" t="s">
        <v>526</v>
      </c>
      <c r="C19" s="28" t="s">
        <v>527</v>
      </c>
      <c r="D19" s="28" t="s">
        <v>275</v>
      </c>
      <c r="E19" s="29">
        <v>17300</v>
      </c>
      <c r="F19" s="30">
        <v>2129.7424500000002</v>
      </c>
      <c r="G19" s="31">
        <v>1.9960840000000001E-2</v>
      </c>
      <c r="H19" s="24" t="s">
        <v>146</v>
      </c>
    </row>
    <row r="20" spans="1:8" x14ac:dyDescent="0.2">
      <c r="A20" s="27">
        <v>14</v>
      </c>
      <c r="B20" s="28" t="s">
        <v>34</v>
      </c>
      <c r="C20" s="28" t="s">
        <v>35</v>
      </c>
      <c r="D20" s="28" t="s">
        <v>36</v>
      </c>
      <c r="E20" s="29">
        <v>91000</v>
      </c>
      <c r="F20" s="30">
        <v>1626.625</v>
      </c>
      <c r="G20" s="31">
        <v>1.5245420000000001E-2</v>
      </c>
      <c r="H20" s="24" t="s">
        <v>146</v>
      </c>
    </row>
    <row r="21" spans="1:8" x14ac:dyDescent="0.2">
      <c r="A21" s="27">
        <v>15</v>
      </c>
      <c r="B21" s="28" t="s">
        <v>347</v>
      </c>
      <c r="C21" s="28" t="s">
        <v>348</v>
      </c>
      <c r="D21" s="28" t="s">
        <v>349</v>
      </c>
      <c r="E21" s="29">
        <v>321600</v>
      </c>
      <c r="F21" s="30">
        <v>1439.16</v>
      </c>
      <c r="G21" s="31">
        <v>1.3488409999999999E-2</v>
      </c>
      <c r="H21" s="24" t="s">
        <v>146</v>
      </c>
    </row>
    <row r="22" spans="1:8" x14ac:dyDescent="0.2">
      <c r="A22" s="27">
        <v>16</v>
      </c>
      <c r="B22" s="28" t="s">
        <v>78</v>
      </c>
      <c r="C22" s="28" t="s">
        <v>79</v>
      </c>
      <c r="D22" s="28" t="s">
        <v>80</v>
      </c>
      <c r="E22" s="29">
        <v>32750</v>
      </c>
      <c r="F22" s="30">
        <v>1416.2246250000001</v>
      </c>
      <c r="G22" s="31">
        <v>1.3273449999999999E-2</v>
      </c>
      <c r="H22" s="24" t="s">
        <v>146</v>
      </c>
    </row>
    <row r="23" spans="1:8" ht="25.5" x14ac:dyDescent="0.2">
      <c r="A23" s="27">
        <v>17</v>
      </c>
      <c r="B23" s="28" t="s">
        <v>337</v>
      </c>
      <c r="C23" s="28" t="s">
        <v>338</v>
      </c>
      <c r="D23" s="28" t="s">
        <v>198</v>
      </c>
      <c r="E23" s="29">
        <v>72950</v>
      </c>
      <c r="F23" s="30">
        <v>1272.2115249999999</v>
      </c>
      <c r="G23" s="31">
        <v>1.1923700000000001E-2</v>
      </c>
      <c r="H23" s="24" t="s">
        <v>146</v>
      </c>
    </row>
    <row r="24" spans="1:8" ht="25.5" x14ac:dyDescent="0.2">
      <c r="A24" s="27">
        <v>18</v>
      </c>
      <c r="B24" s="28" t="s">
        <v>367</v>
      </c>
      <c r="C24" s="28" t="s">
        <v>368</v>
      </c>
      <c r="D24" s="28" t="s">
        <v>198</v>
      </c>
      <c r="E24" s="29">
        <v>107000</v>
      </c>
      <c r="F24" s="30">
        <v>1253.933</v>
      </c>
      <c r="G24" s="31">
        <v>1.175239E-2</v>
      </c>
      <c r="H24" s="24" t="s">
        <v>146</v>
      </c>
    </row>
    <row r="25" spans="1:8" x14ac:dyDescent="0.2">
      <c r="A25" s="27">
        <v>19</v>
      </c>
      <c r="B25" s="28" t="s">
        <v>644</v>
      </c>
      <c r="C25" s="28" t="s">
        <v>645</v>
      </c>
      <c r="D25" s="28" t="s">
        <v>120</v>
      </c>
      <c r="E25" s="29">
        <v>14750</v>
      </c>
      <c r="F25" s="30">
        <v>1163.05225</v>
      </c>
      <c r="G25" s="31">
        <v>1.090062E-2</v>
      </c>
      <c r="H25" s="24" t="s">
        <v>146</v>
      </c>
    </row>
    <row r="26" spans="1:8" ht="25.5" x14ac:dyDescent="0.2">
      <c r="A26" s="27">
        <v>20</v>
      </c>
      <c r="B26" s="28" t="s">
        <v>693</v>
      </c>
      <c r="C26" s="28" t="s">
        <v>694</v>
      </c>
      <c r="D26" s="28" t="s">
        <v>39</v>
      </c>
      <c r="E26" s="29">
        <v>70000</v>
      </c>
      <c r="F26" s="30">
        <v>1155.385</v>
      </c>
      <c r="G26" s="31">
        <v>1.082876E-2</v>
      </c>
      <c r="H26" s="24" t="s">
        <v>146</v>
      </c>
    </row>
    <row r="27" spans="1:8" x14ac:dyDescent="0.2">
      <c r="A27" s="27">
        <v>21</v>
      </c>
      <c r="B27" s="28" t="s">
        <v>530</v>
      </c>
      <c r="C27" s="28" t="s">
        <v>531</v>
      </c>
      <c r="D27" s="28" t="s">
        <v>195</v>
      </c>
      <c r="E27" s="29">
        <v>60000</v>
      </c>
      <c r="F27" s="30">
        <v>1004.67</v>
      </c>
      <c r="G27" s="31">
        <v>9.4161899999999996E-3</v>
      </c>
      <c r="H27" s="24" t="s">
        <v>146</v>
      </c>
    </row>
    <row r="28" spans="1:8" x14ac:dyDescent="0.2">
      <c r="A28" s="27">
        <v>22</v>
      </c>
      <c r="B28" s="28" t="s">
        <v>48</v>
      </c>
      <c r="C28" s="28" t="s">
        <v>49</v>
      </c>
      <c r="D28" s="28" t="s">
        <v>33</v>
      </c>
      <c r="E28" s="29">
        <v>119000</v>
      </c>
      <c r="F28" s="30">
        <v>919.75099999999998</v>
      </c>
      <c r="G28" s="31">
        <v>8.6202899999999992E-3</v>
      </c>
      <c r="H28" s="24" t="s">
        <v>146</v>
      </c>
    </row>
    <row r="29" spans="1:8" ht="25.5" x14ac:dyDescent="0.2">
      <c r="A29" s="27">
        <v>23</v>
      </c>
      <c r="B29" s="28" t="s">
        <v>23</v>
      </c>
      <c r="C29" s="28" t="s">
        <v>24</v>
      </c>
      <c r="D29" s="28" t="s">
        <v>25</v>
      </c>
      <c r="E29" s="29">
        <v>8000</v>
      </c>
      <c r="F29" s="30">
        <v>918.99599999999998</v>
      </c>
      <c r="G29" s="31">
        <v>8.6132199999999996E-3</v>
      </c>
      <c r="H29" s="24" t="s">
        <v>146</v>
      </c>
    </row>
    <row r="30" spans="1:8" x14ac:dyDescent="0.2">
      <c r="A30" s="27">
        <v>24</v>
      </c>
      <c r="B30" s="28" t="s">
        <v>463</v>
      </c>
      <c r="C30" s="28" t="s">
        <v>464</v>
      </c>
      <c r="D30" s="28" t="s">
        <v>120</v>
      </c>
      <c r="E30" s="29">
        <v>104604</v>
      </c>
      <c r="F30" s="30">
        <v>918.63232800000003</v>
      </c>
      <c r="G30" s="31">
        <v>8.6098100000000007E-3</v>
      </c>
      <c r="H30" s="24" t="s">
        <v>146</v>
      </c>
    </row>
    <row r="31" spans="1:8" x14ac:dyDescent="0.2">
      <c r="A31" s="27">
        <v>25</v>
      </c>
      <c r="B31" s="28" t="s">
        <v>445</v>
      </c>
      <c r="C31" s="28" t="s">
        <v>446</v>
      </c>
      <c r="D31" s="28" t="s">
        <v>447</v>
      </c>
      <c r="E31" s="29">
        <v>149800</v>
      </c>
      <c r="F31" s="30">
        <v>890.26139999999998</v>
      </c>
      <c r="G31" s="31">
        <v>8.3439099999999995E-3</v>
      </c>
      <c r="H31" s="24" t="s">
        <v>146</v>
      </c>
    </row>
    <row r="32" spans="1:8" x14ac:dyDescent="0.2">
      <c r="A32" s="27">
        <v>26</v>
      </c>
      <c r="B32" s="28" t="s">
        <v>341</v>
      </c>
      <c r="C32" s="28" t="s">
        <v>342</v>
      </c>
      <c r="D32" s="28" t="s">
        <v>33</v>
      </c>
      <c r="E32" s="29">
        <v>406575</v>
      </c>
      <c r="F32" s="30">
        <v>867.59039250000001</v>
      </c>
      <c r="G32" s="31">
        <v>8.1314200000000003E-3</v>
      </c>
      <c r="H32" s="24" t="s">
        <v>146</v>
      </c>
    </row>
    <row r="33" spans="1:8" x14ac:dyDescent="0.2">
      <c r="A33" s="27">
        <v>27</v>
      </c>
      <c r="B33" s="28" t="s">
        <v>125</v>
      </c>
      <c r="C33" s="28" t="s">
        <v>126</v>
      </c>
      <c r="D33" s="28" t="s">
        <v>80</v>
      </c>
      <c r="E33" s="29">
        <v>263000</v>
      </c>
      <c r="F33" s="30">
        <v>844.36149999999998</v>
      </c>
      <c r="G33" s="31">
        <v>7.9137099999999991E-3</v>
      </c>
      <c r="H33" s="24" t="s">
        <v>146</v>
      </c>
    </row>
    <row r="34" spans="1:8" ht="25.5" x14ac:dyDescent="0.2">
      <c r="A34" s="27">
        <v>28</v>
      </c>
      <c r="B34" s="28" t="s">
        <v>361</v>
      </c>
      <c r="C34" s="28" t="s">
        <v>362</v>
      </c>
      <c r="D34" s="28" t="s">
        <v>120</v>
      </c>
      <c r="E34" s="29">
        <v>63625</v>
      </c>
      <c r="F34" s="30">
        <v>818.12206249999997</v>
      </c>
      <c r="G34" s="31">
        <v>7.6677899999999998E-3</v>
      </c>
      <c r="H34" s="24" t="s">
        <v>146</v>
      </c>
    </row>
    <row r="35" spans="1:8" x14ac:dyDescent="0.2">
      <c r="A35" s="27">
        <v>29</v>
      </c>
      <c r="B35" s="28" t="s">
        <v>695</v>
      </c>
      <c r="C35" s="28" t="s">
        <v>696</v>
      </c>
      <c r="D35" s="28" t="s">
        <v>233</v>
      </c>
      <c r="E35" s="29">
        <v>13000</v>
      </c>
      <c r="F35" s="30">
        <v>808.78200000000004</v>
      </c>
      <c r="G35" s="31">
        <v>7.5802500000000002E-3</v>
      </c>
      <c r="H35" s="24" t="s">
        <v>146</v>
      </c>
    </row>
    <row r="36" spans="1:8" x14ac:dyDescent="0.2">
      <c r="A36" s="27">
        <v>30</v>
      </c>
      <c r="B36" s="28" t="s">
        <v>186</v>
      </c>
      <c r="C36" s="28" t="s">
        <v>187</v>
      </c>
      <c r="D36" s="28" t="s">
        <v>33</v>
      </c>
      <c r="E36" s="29">
        <v>410000</v>
      </c>
      <c r="F36" s="30">
        <v>767.56100000000004</v>
      </c>
      <c r="G36" s="31">
        <v>7.1939100000000004E-3</v>
      </c>
      <c r="H36" s="24" t="s">
        <v>146</v>
      </c>
    </row>
    <row r="37" spans="1:8" x14ac:dyDescent="0.2">
      <c r="A37" s="27">
        <v>31</v>
      </c>
      <c r="B37" s="28" t="s">
        <v>273</v>
      </c>
      <c r="C37" s="28" t="s">
        <v>274</v>
      </c>
      <c r="D37" s="28" t="s">
        <v>275</v>
      </c>
      <c r="E37" s="29">
        <v>29750</v>
      </c>
      <c r="F37" s="30">
        <v>731.22524999999996</v>
      </c>
      <c r="G37" s="31">
        <v>6.8533500000000002E-3</v>
      </c>
      <c r="H37" s="24" t="s">
        <v>146</v>
      </c>
    </row>
    <row r="38" spans="1:8" x14ac:dyDescent="0.2">
      <c r="A38" s="27">
        <v>32</v>
      </c>
      <c r="B38" s="28" t="s">
        <v>224</v>
      </c>
      <c r="C38" s="28" t="s">
        <v>225</v>
      </c>
      <c r="D38" s="28" t="s">
        <v>226</v>
      </c>
      <c r="E38" s="29">
        <v>34000</v>
      </c>
      <c r="F38" s="30">
        <v>729.64</v>
      </c>
      <c r="G38" s="31">
        <v>6.83849E-3</v>
      </c>
      <c r="H38" s="24" t="s">
        <v>146</v>
      </c>
    </row>
    <row r="39" spans="1:8" x14ac:dyDescent="0.2">
      <c r="A39" s="27">
        <v>33</v>
      </c>
      <c r="B39" s="28" t="s">
        <v>357</v>
      </c>
      <c r="C39" s="28" t="s">
        <v>358</v>
      </c>
      <c r="D39" s="28" t="s">
        <v>275</v>
      </c>
      <c r="E39" s="29">
        <v>97750</v>
      </c>
      <c r="F39" s="30">
        <v>699.98775000000001</v>
      </c>
      <c r="G39" s="31">
        <v>6.5605799999999999E-3</v>
      </c>
      <c r="H39" s="24" t="s">
        <v>146</v>
      </c>
    </row>
    <row r="40" spans="1:8" ht="25.5" x14ac:dyDescent="0.2">
      <c r="A40" s="27">
        <v>34</v>
      </c>
      <c r="B40" s="28" t="s">
        <v>293</v>
      </c>
      <c r="C40" s="28" t="s">
        <v>294</v>
      </c>
      <c r="D40" s="28" t="s">
        <v>198</v>
      </c>
      <c r="E40" s="29">
        <v>26000</v>
      </c>
      <c r="F40" s="30">
        <v>633.20399999999995</v>
      </c>
      <c r="G40" s="31">
        <v>5.9346599999999996E-3</v>
      </c>
      <c r="H40" s="24" t="s">
        <v>146</v>
      </c>
    </row>
    <row r="41" spans="1:8" x14ac:dyDescent="0.2">
      <c r="A41" s="27">
        <v>35</v>
      </c>
      <c r="B41" s="28" t="s">
        <v>697</v>
      </c>
      <c r="C41" s="28" t="s">
        <v>698</v>
      </c>
      <c r="D41" s="28" t="s">
        <v>275</v>
      </c>
      <c r="E41" s="29">
        <v>10000</v>
      </c>
      <c r="F41" s="30">
        <v>631.13</v>
      </c>
      <c r="G41" s="31">
        <v>5.9152199999999997E-3</v>
      </c>
      <c r="H41" s="24" t="s">
        <v>146</v>
      </c>
    </row>
    <row r="42" spans="1:8" x14ac:dyDescent="0.2">
      <c r="A42" s="27">
        <v>36</v>
      </c>
      <c r="B42" s="28" t="s">
        <v>234</v>
      </c>
      <c r="C42" s="28" t="s">
        <v>235</v>
      </c>
      <c r="D42" s="28" t="s">
        <v>205</v>
      </c>
      <c r="E42" s="29">
        <v>8000</v>
      </c>
      <c r="F42" s="30">
        <v>617.89599999999996</v>
      </c>
      <c r="G42" s="31">
        <v>5.7911799999999999E-3</v>
      </c>
      <c r="H42" s="24" t="s">
        <v>146</v>
      </c>
    </row>
    <row r="43" spans="1:8" x14ac:dyDescent="0.2">
      <c r="A43" s="27">
        <v>37</v>
      </c>
      <c r="B43" s="28" t="s">
        <v>699</v>
      </c>
      <c r="C43" s="28" t="s">
        <v>700</v>
      </c>
      <c r="D43" s="28" t="s">
        <v>139</v>
      </c>
      <c r="E43" s="29">
        <v>63450</v>
      </c>
      <c r="F43" s="30">
        <v>599.60249999999996</v>
      </c>
      <c r="G43" s="31">
        <v>5.6197299999999999E-3</v>
      </c>
      <c r="H43" s="24" t="s">
        <v>146</v>
      </c>
    </row>
    <row r="44" spans="1:8" x14ac:dyDescent="0.2">
      <c r="A44" s="27">
        <v>38</v>
      </c>
      <c r="B44" s="28" t="s">
        <v>331</v>
      </c>
      <c r="C44" s="28" t="s">
        <v>332</v>
      </c>
      <c r="D44" s="28" t="s">
        <v>205</v>
      </c>
      <c r="E44" s="29">
        <v>266000</v>
      </c>
      <c r="F44" s="30">
        <v>586.13099999999997</v>
      </c>
      <c r="G44" s="31">
        <v>5.4934700000000003E-3</v>
      </c>
      <c r="H44" s="24" t="s">
        <v>146</v>
      </c>
    </row>
    <row r="45" spans="1:8" x14ac:dyDescent="0.2">
      <c r="A45" s="27">
        <v>39</v>
      </c>
      <c r="B45" s="28" t="s">
        <v>20</v>
      </c>
      <c r="C45" s="28" t="s">
        <v>21</v>
      </c>
      <c r="D45" s="28" t="s">
        <v>22</v>
      </c>
      <c r="E45" s="29">
        <v>178500</v>
      </c>
      <c r="F45" s="30">
        <v>578.34</v>
      </c>
      <c r="G45" s="31">
        <v>5.4204500000000003E-3</v>
      </c>
      <c r="H45" s="24" t="s">
        <v>146</v>
      </c>
    </row>
    <row r="46" spans="1:8" x14ac:dyDescent="0.2">
      <c r="A46" s="27">
        <v>40</v>
      </c>
      <c r="B46" s="28" t="s">
        <v>350</v>
      </c>
      <c r="C46" s="28" t="s">
        <v>351</v>
      </c>
      <c r="D46" s="28" t="s">
        <v>233</v>
      </c>
      <c r="E46" s="29">
        <v>10000</v>
      </c>
      <c r="F46" s="30">
        <v>573.29499999999996</v>
      </c>
      <c r="G46" s="31">
        <v>5.3731600000000001E-3</v>
      </c>
      <c r="H46" s="24" t="s">
        <v>146</v>
      </c>
    </row>
    <row r="47" spans="1:8" x14ac:dyDescent="0.2">
      <c r="A47" s="27">
        <v>41</v>
      </c>
      <c r="B47" s="28" t="s">
        <v>650</v>
      </c>
      <c r="C47" s="28" t="s">
        <v>651</v>
      </c>
      <c r="D47" s="28" t="s">
        <v>205</v>
      </c>
      <c r="E47" s="29">
        <v>208000</v>
      </c>
      <c r="F47" s="30">
        <v>569.60799999999995</v>
      </c>
      <c r="G47" s="31">
        <v>5.3386099999999997E-3</v>
      </c>
      <c r="H47" s="24" t="s">
        <v>146</v>
      </c>
    </row>
    <row r="48" spans="1:8" x14ac:dyDescent="0.2">
      <c r="A48" s="27">
        <v>42</v>
      </c>
      <c r="B48" s="28" t="s">
        <v>701</v>
      </c>
      <c r="C48" s="28" t="s">
        <v>702</v>
      </c>
      <c r="D48" s="28" t="s">
        <v>280</v>
      </c>
      <c r="E48" s="29">
        <v>78100</v>
      </c>
      <c r="F48" s="30">
        <v>498.31704999999999</v>
      </c>
      <c r="G48" s="31">
        <v>4.6704399999999997E-3</v>
      </c>
      <c r="H48" s="24" t="s">
        <v>146</v>
      </c>
    </row>
    <row r="49" spans="1:8" ht="25.5" x14ac:dyDescent="0.2">
      <c r="A49" s="27">
        <v>43</v>
      </c>
      <c r="B49" s="28" t="s">
        <v>345</v>
      </c>
      <c r="C49" s="28" t="s">
        <v>346</v>
      </c>
      <c r="D49" s="28" t="s">
        <v>198</v>
      </c>
      <c r="E49" s="29">
        <v>40000</v>
      </c>
      <c r="F49" s="30">
        <v>486.94</v>
      </c>
      <c r="G49" s="31">
        <v>4.5638099999999997E-3</v>
      </c>
      <c r="H49" s="24" t="s">
        <v>146</v>
      </c>
    </row>
    <row r="50" spans="1:8" x14ac:dyDescent="0.2">
      <c r="A50" s="27">
        <v>44</v>
      </c>
      <c r="B50" s="28" t="s">
        <v>90</v>
      </c>
      <c r="C50" s="28" t="s">
        <v>91</v>
      </c>
      <c r="D50" s="28" t="s">
        <v>36</v>
      </c>
      <c r="E50" s="29">
        <v>68000</v>
      </c>
      <c r="F50" s="30">
        <v>455.83800000000002</v>
      </c>
      <c r="G50" s="31">
        <v>4.2723099999999996E-3</v>
      </c>
      <c r="H50" s="24" t="s">
        <v>146</v>
      </c>
    </row>
    <row r="51" spans="1:8" x14ac:dyDescent="0.2">
      <c r="A51" s="27">
        <v>45</v>
      </c>
      <c r="B51" s="28" t="s">
        <v>363</v>
      </c>
      <c r="C51" s="28" t="s">
        <v>364</v>
      </c>
      <c r="D51" s="28" t="s">
        <v>39</v>
      </c>
      <c r="E51" s="29">
        <v>12175</v>
      </c>
      <c r="F51" s="30">
        <v>424.93793749999998</v>
      </c>
      <c r="G51" s="31">
        <v>3.9826999999999996E-3</v>
      </c>
      <c r="H51" s="24" t="s">
        <v>146</v>
      </c>
    </row>
    <row r="52" spans="1:8" x14ac:dyDescent="0.2">
      <c r="A52" s="27">
        <v>46</v>
      </c>
      <c r="B52" s="28" t="s">
        <v>114</v>
      </c>
      <c r="C52" s="28" t="s">
        <v>115</v>
      </c>
      <c r="D52" s="28" t="s">
        <v>83</v>
      </c>
      <c r="E52" s="29">
        <v>12000</v>
      </c>
      <c r="F52" s="30">
        <v>411.096</v>
      </c>
      <c r="G52" s="31">
        <v>3.8529699999999998E-3</v>
      </c>
      <c r="H52" s="24" t="s">
        <v>146</v>
      </c>
    </row>
    <row r="53" spans="1:8" ht="25.5" x14ac:dyDescent="0.2">
      <c r="A53" s="27">
        <v>47</v>
      </c>
      <c r="B53" s="28" t="s">
        <v>703</v>
      </c>
      <c r="C53" s="28" t="s">
        <v>704</v>
      </c>
      <c r="D53" s="28" t="s">
        <v>25</v>
      </c>
      <c r="E53" s="29">
        <v>15869</v>
      </c>
      <c r="F53" s="30">
        <v>296.17108150000001</v>
      </c>
      <c r="G53" s="31">
        <v>2.7758399999999999E-3</v>
      </c>
      <c r="H53" s="24" t="s">
        <v>146</v>
      </c>
    </row>
    <row r="54" spans="1:8" ht="25.5" x14ac:dyDescent="0.2">
      <c r="A54" s="27">
        <v>48</v>
      </c>
      <c r="B54" s="28" t="s">
        <v>639</v>
      </c>
      <c r="C54" s="28" t="s">
        <v>640</v>
      </c>
      <c r="D54" s="28" t="s">
        <v>641</v>
      </c>
      <c r="E54" s="29">
        <v>12600</v>
      </c>
      <c r="F54" s="30">
        <v>288.26280000000003</v>
      </c>
      <c r="G54" s="31">
        <v>2.7017199999999999E-3</v>
      </c>
      <c r="H54" s="24" t="s">
        <v>146</v>
      </c>
    </row>
    <row r="55" spans="1:8" x14ac:dyDescent="0.2">
      <c r="A55" s="27">
        <v>49</v>
      </c>
      <c r="B55" s="28" t="s">
        <v>637</v>
      </c>
      <c r="C55" s="28" t="s">
        <v>638</v>
      </c>
      <c r="D55" s="28" t="s">
        <v>47</v>
      </c>
      <c r="E55" s="29">
        <v>35475</v>
      </c>
      <c r="F55" s="30">
        <v>264.3064875</v>
      </c>
      <c r="G55" s="31">
        <v>2.4771900000000002E-3</v>
      </c>
      <c r="H55" s="24" t="s">
        <v>146</v>
      </c>
    </row>
    <row r="56" spans="1:8" x14ac:dyDescent="0.2">
      <c r="A56" s="27">
        <v>50</v>
      </c>
      <c r="B56" s="28" t="s">
        <v>524</v>
      </c>
      <c r="C56" s="28" t="s">
        <v>525</v>
      </c>
      <c r="D56" s="28" t="s">
        <v>226</v>
      </c>
      <c r="E56" s="29">
        <v>18200</v>
      </c>
      <c r="F56" s="30">
        <v>259.16800000000001</v>
      </c>
      <c r="G56" s="31">
        <v>2.42903E-3</v>
      </c>
      <c r="H56" s="24" t="s">
        <v>146</v>
      </c>
    </row>
    <row r="57" spans="1:8" ht="25.5" x14ac:dyDescent="0.2">
      <c r="A57" s="27">
        <v>51</v>
      </c>
      <c r="B57" s="28" t="s">
        <v>73</v>
      </c>
      <c r="C57" s="28" t="s">
        <v>74</v>
      </c>
      <c r="D57" s="28" t="s">
        <v>75</v>
      </c>
      <c r="E57" s="29">
        <v>23000</v>
      </c>
      <c r="F57" s="30">
        <v>252.85050000000001</v>
      </c>
      <c r="G57" s="31">
        <v>2.3698199999999999E-3</v>
      </c>
      <c r="H57" s="24" t="s">
        <v>146</v>
      </c>
    </row>
    <row r="58" spans="1:8" x14ac:dyDescent="0.2">
      <c r="A58" s="27">
        <v>52</v>
      </c>
      <c r="B58" s="28" t="s">
        <v>335</v>
      </c>
      <c r="C58" s="28" t="s">
        <v>336</v>
      </c>
      <c r="D58" s="28" t="s">
        <v>195</v>
      </c>
      <c r="E58" s="29">
        <v>5858</v>
      </c>
      <c r="F58" s="30">
        <v>240.904392</v>
      </c>
      <c r="G58" s="31">
        <v>2.25786E-3</v>
      </c>
      <c r="H58" s="24" t="s">
        <v>146</v>
      </c>
    </row>
    <row r="59" spans="1:8" x14ac:dyDescent="0.2">
      <c r="A59" s="27">
        <v>53</v>
      </c>
      <c r="B59" s="28" t="s">
        <v>433</v>
      </c>
      <c r="C59" s="28" t="s">
        <v>434</v>
      </c>
      <c r="D59" s="28" t="s">
        <v>280</v>
      </c>
      <c r="E59" s="29">
        <v>15750</v>
      </c>
      <c r="F59" s="30">
        <v>233.667</v>
      </c>
      <c r="G59" s="31">
        <v>2.1900299999999999E-3</v>
      </c>
      <c r="H59" s="24" t="s">
        <v>146</v>
      </c>
    </row>
    <row r="60" spans="1:8" x14ac:dyDescent="0.2">
      <c r="A60" s="27">
        <v>54</v>
      </c>
      <c r="B60" s="28" t="s">
        <v>705</v>
      </c>
      <c r="C60" s="28" t="s">
        <v>706</v>
      </c>
      <c r="D60" s="28" t="s">
        <v>275</v>
      </c>
      <c r="E60" s="29">
        <v>5250</v>
      </c>
      <c r="F60" s="30">
        <v>227.805375</v>
      </c>
      <c r="G60" s="31">
        <v>2.1350900000000001E-3</v>
      </c>
      <c r="H60" s="24" t="s">
        <v>146</v>
      </c>
    </row>
    <row r="61" spans="1:8" x14ac:dyDescent="0.2">
      <c r="A61" s="27">
        <v>55</v>
      </c>
      <c r="B61" s="28" t="s">
        <v>63</v>
      </c>
      <c r="C61" s="28" t="s">
        <v>64</v>
      </c>
      <c r="D61" s="28" t="s">
        <v>19</v>
      </c>
      <c r="E61" s="29">
        <v>13000</v>
      </c>
      <c r="F61" s="30">
        <v>176.137</v>
      </c>
      <c r="G61" s="31">
        <v>1.65083E-3</v>
      </c>
      <c r="H61" s="24" t="s">
        <v>146</v>
      </c>
    </row>
    <row r="62" spans="1:8" ht="25.5" x14ac:dyDescent="0.2">
      <c r="A62" s="27">
        <v>56</v>
      </c>
      <c r="B62" s="28" t="s">
        <v>196</v>
      </c>
      <c r="C62" s="28" t="s">
        <v>197</v>
      </c>
      <c r="D62" s="28" t="s">
        <v>198</v>
      </c>
      <c r="E62" s="29">
        <v>7650</v>
      </c>
      <c r="F62" s="30">
        <v>159.154425</v>
      </c>
      <c r="G62" s="31">
        <v>1.4916599999999999E-3</v>
      </c>
      <c r="H62" s="24" t="s">
        <v>146</v>
      </c>
    </row>
    <row r="63" spans="1:8" ht="25.5" x14ac:dyDescent="0.2">
      <c r="A63" s="27">
        <v>57</v>
      </c>
      <c r="B63" s="28" t="s">
        <v>471</v>
      </c>
      <c r="C63" s="28" t="s">
        <v>472</v>
      </c>
      <c r="D63" s="28" t="s">
        <v>198</v>
      </c>
      <c r="E63" s="29">
        <v>1058</v>
      </c>
      <c r="F63" s="30">
        <v>149.42504299999999</v>
      </c>
      <c r="G63" s="31">
        <v>1.40047E-3</v>
      </c>
      <c r="H63" s="24" t="s">
        <v>146</v>
      </c>
    </row>
    <row r="64" spans="1:8" x14ac:dyDescent="0.2">
      <c r="A64" s="27">
        <v>58</v>
      </c>
      <c r="B64" s="28" t="s">
        <v>652</v>
      </c>
      <c r="C64" s="28" t="s">
        <v>653</v>
      </c>
      <c r="D64" s="28" t="s">
        <v>120</v>
      </c>
      <c r="E64" s="29">
        <v>6000</v>
      </c>
      <c r="F64" s="30">
        <v>104.166</v>
      </c>
      <c r="G64" s="31">
        <v>9.7628999999999999E-4</v>
      </c>
      <c r="H64" s="24" t="s">
        <v>146</v>
      </c>
    </row>
    <row r="65" spans="1:8" ht="25.5" x14ac:dyDescent="0.2">
      <c r="A65" s="27">
        <v>59</v>
      </c>
      <c r="B65" s="28" t="s">
        <v>369</v>
      </c>
      <c r="C65" s="28" t="s">
        <v>370</v>
      </c>
      <c r="D65" s="28" t="s">
        <v>25</v>
      </c>
      <c r="E65" s="29">
        <v>2000</v>
      </c>
      <c r="F65" s="30">
        <v>50.177</v>
      </c>
      <c r="G65" s="31">
        <v>4.7028E-4</v>
      </c>
      <c r="H65" s="24" t="s">
        <v>146</v>
      </c>
    </row>
    <row r="66" spans="1:8" ht="25.5" x14ac:dyDescent="0.2">
      <c r="A66" s="27">
        <v>60</v>
      </c>
      <c r="B66" s="28" t="s">
        <v>104</v>
      </c>
      <c r="C66" s="28" t="s">
        <v>105</v>
      </c>
      <c r="D66" s="28" t="s">
        <v>25</v>
      </c>
      <c r="E66" s="29">
        <v>9000</v>
      </c>
      <c r="F66" s="30">
        <v>46.152000000000001</v>
      </c>
      <c r="G66" s="31">
        <v>4.3256000000000002E-4</v>
      </c>
      <c r="H66" s="24" t="s">
        <v>146</v>
      </c>
    </row>
    <row r="67" spans="1:8" x14ac:dyDescent="0.2">
      <c r="A67" s="27">
        <v>61</v>
      </c>
      <c r="B67" s="28" t="s">
        <v>305</v>
      </c>
      <c r="C67" s="28" t="s">
        <v>306</v>
      </c>
      <c r="D67" s="28" t="s">
        <v>39</v>
      </c>
      <c r="E67" s="29">
        <v>2700</v>
      </c>
      <c r="F67" s="30">
        <v>34.042949999999998</v>
      </c>
      <c r="G67" s="31">
        <v>3.1907000000000002E-4</v>
      </c>
      <c r="H67" s="24" t="s">
        <v>146</v>
      </c>
    </row>
    <row r="68" spans="1:8" x14ac:dyDescent="0.2">
      <c r="A68" s="27">
        <v>62</v>
      </c>
      <c r="B68" s="28" t="s">
        <v>707</v>
      </c>
      <c r="C68" s="28" t="s">
        <v>708</v>
      </c>
      <c r="D68" s="28" t="s">
        <v>39</v>
      </c>
      <c r="E68" s="29">
        <v>1200</v>
      </c>
      <c r="F68" s="30">
        <v>27.6096</v>
      </c>
      <c r="G68" s="31">
        <v>2.5877000000000002E-4</v>
      </c>
      <c r="H68" s="24" t="s">
        <v>146</v>
      </c>
    </row>
    <row r="69" spans="1:8" x14ac:dyDescent="0.2">
      <c r="A69" s="27">
        <v>63</v>
      </c>
      <c r="B69" s="28" t="s">
        <v>76</v>
      </c>
      <c r="C69" s="28" t="s">
        <v>77</v>
      </c>
      <c r="D69" s="28" t="s">
        <v>19</v>
      </c>
      <c r="E69" s="29">
        <v>3400</v>
      </c>
      <c r="F69" s="30">
        <v>11.8048</v>
      </c>
      <c r="G69" s="31">
        <v>1.1064E-4</v>
      </c>
      <c r="H69" s="24" t="s">
        <v>146</v>
      </c>
    </row>
    <row r="70" spans="1:8" x14ac:dyDescent="0.2">
      <c r="A70" s="25"/>
      <c r="B70" s="25"/>
      <c r="C70" s="26" t="s">
        <v>145</v>
      </c>
      <c r="D70" s="25"/>
      <c r="E70" s="25" t="s">
        <v>146</v>
      </c>
      <c r="F70" s="32">
        <v>77300.271084499997</v>
      </c>
      <c r="G70" s="33">
        <v>0.72449078</v>
      </c>
      <c r="H70" s="24" t="s">
        <v>146</v>
      </c>
    </row>
    <row r="71" spans="1:8" x14ac:dyDescent="0.2">
      <c r="A71" s="25"/>
      <c r="B71" s="25"/>
      <c r="C71" s="34"/>
      <c r="D71" s="25"/>
      <c r="E71" s="25"/>
      <c r="F71" s="35"/>
      <c r="G71" s="35"/>
      <c r="H71" s="24" t="s">
        <v>146</v>
      </c>
    </row>
    <row r="72" spans="1:8" x14ac:dyDescent="0.2">
      <c r="A72" s="25"/>
      <c r="B72" s="25"/>
      <c r="C72" s="26" t="s">
        <v>147</v>
      </c>
      <c r="D72" s="25"/>
      <c r="E72" s="25"/>
      <c r="F72" s="25"/>
      <c r="G72" s="25"/>
      <c r="H72" s="24" t="s">
        <v>146</v>
      </c>
    </row>
    <row r="73" spans="1:8" x14ac:dyDescent="0.2">
      <c r="A73" s="25"/>
      <c r="B73" s="25"/>
      <c r="C73" s="26" t="s">
        <v>145</v>
      </c>
      <c r="D73" s="25"/>
      <c r="E73" s="25" t="s">
        <v>146</v>
      </c>
      <c r="F73" s="36" t="s">
        <v>148</v>
      </c>
      <c r="G73" s="33">
        <v>0</v>
      </c>
      <c r="H73" s="24" t="s">
        <v>146</v>
      </c>
    </row>
    <row r="74" spans="1:8" x14ac:dyDescent="0.2">
      <c r="A74" s="25"/>
      <c r="B74" s="25"/>
      <c r="C74" s="34"/>
      <c r="D74" s="25"/>
      <c r="E74" s="25"/>
      <c r="F74" s="35"/>
      <c r="G74" s="35"/>
      <c r="H74" s="24" t="s">
        <v>146</v>
      </c>
    </row>
    <row r="75" spans="1:8" x14ac:dyDescent="0.2">
      <c r="A75" s="25"/>
      <c r="B75" s="25"/>
      <c r="C75" s="26" t="s">
        <v>149</v>
      </c>
      <c r="D75" s="25"/>
      <c r="E75" s="25"/>
      <c r="F75" s="25"/>
      <c r="G75" s="25"/>
      <c r="H75" s="24" t="s">
        <v>146</v>
      </c>
    </row>
    <row r="76" spans="1:8" x14ac:dyDescent="0.2">
      <c r="A76" s="25"/>
      <c r="B76" s="25"/>
      <c r="C76" s="26" t="s">
        <v>145</v>
      </c>
      <c r="D76" s="25"/>
      <c r="E76" s="25" t="s">
        <v>146</v>
      </c>
      <c r="F76" s="36" t="s">
        <v>148</v>
      </c>
      <c r="G76" s="33">
        <v>0</v>
      </c>
      <c r="H76" s="24" t="s">
        <v>146</v>
      </c>
    </row>
    <row r="77" spans="1:8" x14ac:dyDescent="0.2">
      <c r="A77" s="25"/>
      <c r="B77" s="25"/>
      <c r="C77" s="34"/>
      <c r="D77" s="25"/>
      <c r="E77" s="25"/>
      <c r="F77" s="35"/>
      <c r="G77" s="35"/>
      <c r="H77" s="24" t="s">
        <v>146</v>
      </c>
    </row>
    <row r="78" spans="1:8" x14ac:dyDescent="0.2">
      <c r="A78" s="25"/>
      <c r="B78" s="25"/>
      <c r="C78" s="26" t="s">
        <v>150</v>
      </c>
      <c r="D78" s="25"/>
      <c r="E78" s="25"/>
      <c r="F78" s="25"/>
      <c r="G78" s="25"/>
      <c r="H78" s="24" t="s">
        <v>146</v>
      </c>
    </row>
    <row r="79" spans="1:8" x14ac:dyDescent="0.2">
      <c r="A79" s="25"/>
      <c r="B79" s="25"/>
      <c r="C79" s="26" t="s">
        <v>145</v>
      </c>
      <c r="D79" s="25"/>
      <c r="E79" s="25" t="s">
        <v>146</v>
      </c>
      <c r="F79" s="36" t="s">
        <v>148</v>
      </c>
      <c r="G79" s="33">
        <v>0</v>
      </c>
      <c r="H79" s="24" t="s">
        <v>146</v>
      </c>
    </row>
    <row r="80" spans="1:8" x14ac:dyDescent="0.2">
      <c r="A80" s="25"/>
      <c r="B80" s="25"/>
      <c r="C80" s="34"/>
      <c r="D80" s="25"/>
      <c r="E80" s="25"/>
      <c r="F80" s="35"/>
      <c r="G80" s="35"/>
      <c r="H80" s="24" t="s">
        <v>146</v>
      </c>
    </row>
    <row r="81" spans="1:8" x14ac:dyDescent="0.2">
      <c r="A81" s="25"/>
      <c r="B81" s="25"/>
      <c r="C81" s="26" t="s">
        <v>151</v>
      </c>
      <c r="D81" s="25"/>
      <c r="E81" s="25"/>
      <c r="F81" s="35"/>
      <c r="G81" s="35"/>
      <c r="H81" s="24" t="s">
        <v>146</v>
      </c>
    </row>
    <row r="82" spans="1:8" x14ac:dyDescent="0.2">
      <c r="A82" s="25"/>
      <c r="B82" s="25"/>
      <c r="C82" s="26" t="s">
        <v>145</v>
      </c>
      <c r="D82" s="25"/>
      <c r="E82" s="25" t="s">
        <v>146</v>
      </c>
      <c r="F82" s="36" t="s">
        <v>148</v>
      </c>
      <c r="G82" s="33">
        <v>0</v>
      </c>
      <c r="H82" s="24" t="s">
        <v>146</v>
      </c>
    </row>
    <row r="83" spans="1:8" x14ac:dyDescent="0.2">
      <c r="A83" s="25"/>
      <c r="B83" s="25"/>
      <c r="C83" s="34"/>
      <c r="D83" s="25"/>
      <c r="E83" s="25"/>
      <c r="F83" s="35"/>
      <c r="G83" s="35"/>
      <c r="H83" s="24" t="s">
        <v>146</v>
      </c>
    </row>
    <row r="84" spans="1:8" x14ac:dyDescent="0.2">
      <c r="A84" s="25"/>
      <c r="B84" s="25"/>
      <c r="C84" s="26" t="s">
        <v>152</v>
      </c>
      <c r="D84" s="25"/>
      <c r="E84" s="25"/>
      <c r="F84" s="35"/>
      <c r="G84" s="35"/>
      <c r="H84" s="24" t="s">
        <v>146</v>
      </c>
    </row>
    <row r="85" spans="1:8" x14ac:dyDescent="0.2">
      <c r="A85" s="27">
        <v>1</v>
      </c>
      <c r="B85" s="28"/>
      <c r="C85" s="28" t="s">
        <v>930</v>
      </c>
      <c r="D85" s="28" t="s">
        <v>519</v>
      </c>
      <c r="E85" s="29">
        <v>-175</v>
      </c>
      <c r="F85" s="30">
        <v>-6.1390000000000002</v>
      </c>
      <c r="G85" s="31">
        <f>F85/$F$184</f>
        <v>-5.7537293377994236E-5</v>
      </c>
      <c r="H85" s="24" t="s">
        <v>146</v>
      </c>
    </row>
    <row r="86" spans="1:8" x14ac:dyDescent="0.2">
      <c r="A86" s="27">
        <v>2</v>
      </c>
      <c r="B86" s="28"/>
      <c r="C86" s="28" t="s">
        <v>959</v>
      </c>
      <c r="D86" s="28" t="s">
        <v>519</v>
      </c>
      <c r="E86" s="29">
        <v>-3400</v>
      </c>
      <c r="F86" s="30">
        <v>-11.8558</v>
      </c>
      <c r="G86" s="31">
        <f t="shared" ref="G86:G122" si="0">F86/$F$184</f>
        <v>-1.1111755055071251E-4</v>
      </c>
      <c r="H86" s="24" t="s">
        <v>146</v>
      </c>
    </row>
    <row r="87" spans="1:8" x14ac:dyDescent="0.2">
      <c r="A87" s="27">
        <v>3</v>
      </c>
      <c r="B87" s="28"/>
      <c r="C87" s="28" t="s">
        <v>979</v>
      </c>
      <c r="D87" s="28" t="s">
        <v>519</v>
      </c>
      <c r="E87" s="29">
        <v>-2700</v>
      </c>
      <c r="F87" s="30">
        <v>-34.22925</v>
      </c>
      <c r="G87" s="31">
        <f t="shared" si="0"/>
        <v>-3.2081094630374802E-4</v>
      </c>
      <c r="H87" s="24" t="s">
        <v>146</v>
      </c>
    </row>
    <row r="88" spans="1:8" x14ac:dyDescent="0.2">
      <c r="A88" s="27">
        <v>4</v>
      </c>
      <c r="B88" s="28"/>
      <c r="C88" s="28" t="s">
        <v>956</v>
      </c>
      <c r="D88" s="28" t="s">
        <v>519</v>
      </c>
      <c r="E88" s="29">
        <v>-9000</v>
      </c>
      <c r="F88" s="30">
        <v>-46.430999999999997</v>
      </c>
      <c r="G88" s="31">
        <f t="shared" si="0"/>
        <v>-4.351708859478173E-4</v>
      </c>
      <c r="H88" s="24" t="s">
        <v>146</v>
      </c>
    </row>
    <row r="89" spans="1:8" x14ac:dyDescent="0.2">
      <c r="A89" s="27">
        <v>5</v>
      </c>
      <c r="B89" s="28"/>
      <c r="C89" s="28" t="s">
        <v>980</v>
      </c>
      <c r="D89" s="28" t="s">
        <v>519</v>
      </c>
      <c r="E89" s="29">
        <v>-2000</v>
      </c>
      <c r="F89" s="30">
        <v>-50.372</v>
      </c>
      <c r="G89" s="31">
        <f t="shared" si="0"/>
        <v>-4.7210759766025829E-4</v>
      </c>
      <c r="H89" s="24" t="s">
        <v>146</v>
      </c>
    </row>
    <row r="90" spans="1:8" x14ac:dyDescent="0.2">
      <c r="A90" s="27">
        <v>6</v>
      </c>
      <c r="B90" s="28"/>
      <c r="C90" s="28" t="s">
        <v>944</v>
      </c>
      <c r="D90" s="28" t="s">
        <v>519</v>
      </c>
      <c r="E90" s="29">
        <v>-750</v>
      </c>
      <c r="F90" s="30">
        <v>-59.481749999999998</v>
      </c>
      <c r="G90" s="31">
        <f t="shared" si="0"/>
        <v>-5.5748801113968214E-4</v>
      </c>
      <c r="H90" s="24" t="s">
        <v>146</v>
      </c>
    </row>
    <row r="91" spans="1:8" x14ac:dyDescent="0.2">
      <c r="A91" s="27">
        <v>7</v>
      </c>
      <c r="B91" s="28"/>
      <c r="C91" s="28" t="s">
        <v>928</v>
      </c>
      <c r="D91" s="28" t="s">
        <v>519</v>
      </c>
      <c r="E91" s="29">
        <v>-6000</v>
      </c>
      <c r="F91" s="30">
        <v>-104.79300000000001</v>
      </c>
      <c r="G91" s="31">
        <f t="shared" si="0"/>
        <v>-9.8216412851606953E-4</v>
      </c>
      <c r="H91" s="24" t="s">
        <v>146</v>
      </c>
    </row>
    <row r="92" spans="1:8" x14ac:dyDescent="0.2">
      <c r="A92" s="27">
        <v>8</v>
      </c>
      <c r="B92" s="28"/>
      <c r="C92" s="28" t="s">
        <v>981</v>
      </c>
      <c r="D92" s="28" t="s">
        <v>519</v>
      </c>
      <c r="E92" s="29">
        <v>-7650</v>
      </c>
      <c r="F92" s="30">
        <v>-159.77789999999999</v>
      </c>
      <c r="G92" s="31">
        <f t="shared" si="0"/>
        <v>-1.4975057676526837E-3</v>
      </c>
      <c r="H92" s="24" t="s">
        <v>146</v>
      </c>
    </row>
    <row r="93" spans="1:8" x14ac:dyDescent="0.2">
      <c r="A93" s="27">
        <v>9</v>
      </c>
      <c r="B93" s="28"/>
      <c r="C93" s="28" t="s">
        <v>957</v>
      </c>
      <c r="D93" s="28" t="s">
        <v>519</v>
      </c>
      <c r="E93" s="29">
        <v>-27500</v>
      </c>
      <c r="F93" s="30">
        <v>-197.8075</v>
      </c>
      <c r="G93" s="31">
        <f t="shared" si="0"/>
        <v>-1.8539351946355424E-3</v>
      </c>
      <c r="H93" s="24" t="s">
        <v>146</v>
      </c>
    </row>
    <row r="94" spans="1:8" ht="25.5" x14ac:dyDescent="0.2">
      <c r="A94" s="27">
        <v>10</v>
      </c>
      <c r="B94" s="28"/>
      <c r="C94" s="28" t="s">
        <v>982</v>
      </c>
      <c r="D94" s="28" t="s">
        <v>519</v>
      </c>
      <c r="E94" s="29">
        <v>-15625</v>
      </c>
      <c r="F94" s="30">
        <v>-201.875</v>
      </c>
      <c r="G94" s="31">
        <f t="shared" si="0"/>
        <v>-1.8920575176221838E-3</v>
      </c>
      <c r="H94" s="24" t="s">
        <v>146</v>
      </c>
    </row>
    <row r="95" spans="1:8" ht="25.5" x14ac:dyDescent="0.2">
      <c r="A95" s="27">
        <v>11</v>
      </c>
      <c r="B95" s="28"/>
      <c r="C95" s="28" t="s">
        <v>950</v>
      </c>
      <c r="D95" s="28" t="s">
        <v>519</v>
      </c>
      <c r="E95" s="29">
        <v>-12950</v>
      </c>
      <c r="F95" s="30">
        <v>-225.94512499999999</v>
      </c>
      <c r="G95" s="31">
        <f t="shared" si="0"/>
        <v>-2.1176528660127999E-3</v>
      </c>
      <c r="H95" s="24" t="s">
        <v>146</v>
      </c>
    </row>
    <row r="96" spans="1:8" x14ac:dyDescent="0.2">
      <c r="A96" s="27">
        <v>12</v>
      </c>
      <c r="B96" s="28"/>
      <c r="C96" s="28" t="s">
        <v>983</v>
      </c>
      <c r="D96" s="28" t="s">
        <v>519</v>
      </c>
      <c r="E96" s="29">
        <v>-5250</v>
      </c>
      <c r="F96" s="30">
        <v>-226.32749999999999</v>
      </c>
      <c r="G96" s="31">
        <f t="shared" si="0"/>
        <v>-2.1212366455461784E-3</v>
      </c>
      <c r="H96" s="24" t="s">
        <v>146</v>
      </c>
    </row>
    <row r="97" spans="1:8" ht="25.5" x14ac:dyDescent="0.2">
      <c r="A97" s="27">
        <v>13</v>
      </c>
      <c r="B97" s="28"/>
      <c r="C97" s="28" t="s">
        <v>937</v>
      </c>
      <c r="D97" s="28" t="s">
        <v>519</v>
      </c>
      <c r="E97" s="29">
        <v>-15750</v>
      </c>
      <c r="F97" s="30">
        <v>-234.43875</v>
      </c>
      <c r="G97" s="31">
        <f t="shared" si="0"/>
        <v>-2.1972586965173881E-3</v>
      </c>
      <c r="H97" s="24" t="s">
        <v>146</v>
      </c>
    </row>
    <row r="98" spans="1:8" x14ac:dyDescent="0.2">
      <c r="A98" s="27">
        <v>14</v>
      </c>
      <c r="B98" s="28"/>
      <c r="C98" s="28" t="s">
        <v>984</v>
      </c>
      <c r="D98" s="28" t="s">
        <v>519</v>
      </c>
      <c r="E98" s="29">
        <v>-18200</v>
      </c>
      <c r="F98" s="30">
        <v>-260.52390000000003</v>
      </c>
      <c r="G98" s="31">
        <f t="shared" si="0"/>
        <v>-2.4417397078154803E-3</v>
      </c>
      <c r="H98" s="24" t="s">
        <v>146</v>
      </c>
    </row>
    <row r="99" spans="1:8" x14ac:dyDescent="0.2">
      <c r="A99" s="27">
        <v>15</v>
      </c>
      <c r="B99" s="28"/>
      <c r="C99" s="28" t="s">
        <v>952</v>
      </c>
      <c r="D99" s="28" t="s">
        <v>519</v>
      </c>
      <c r="E99" s="29">
        <v>-35475</v>
      </c>
      <c r="F99" s="30">
        <v>-265.92059999999998</v>
      </c>
      <c r="G99" s="31">
        <f t="shared" si="0"/>
        <v>-2.4923198529813086E-3</v>
      </c>
      <c r="H99" s="24" t="s">
        <v>146</v>
      </c>
    </row>
    <row r="100" spans="1:8" x14ac:dyDescent="0.2">
      <c r="A100" s="27">
        <v>16</v>
      </c>
      <c r="B100" s="28"/>
      <c r="C100" s="28" t="s">
        <v>951</v>
      </c>
      <c r="D100" s="28" t="s">
        <v>519</v>
      </c>
      <c r="E100" s="29">
        <v>-12600</v>
      </c>
      <c r="F100" s="30">
        <v>-290.08350000000002</v>
      </c>
      <c r="G100" s="31">
        <f t="shared" si="0"/>
        <v>-2.7187847277431818E-3</v>
      </c>
      <c r="H100" s="24" t="s">
        <v>146</v>
      </c>
    </row>
    <row r="101" spans="1:8" ht="25.5" x14ac:dyDescent="0.2">
      <c r="A101" s="27">
        <v>17</v>
      </c>
      <c r="B101" s="28"/>
      <c r="C101" s="28" t="s">
        <v>985</v>
      </c>
      <c r="D101" s="28" t="s">
        <v>519</v>
      </c>
      <c r="E101" s="29">
        <v>-78100</v>
      </c>
      <c r="F101" s="30">
        <v>-500.54289999999997</v>
      </c>
      <c r="G101" s="31">
        <f t="shared" si="0"/>
        <v>-4.6912988573989296E-3</v>
      </c>
      <c r="H101" s="24" t="s">
        <v>146</v>
      </c>
    </row>
    <row r="102" spans="1:8" x14ac:dyDescent="0.2">
      <c r="A102" s="27">
        <v>18</v>
      </c>
      <c r="B102" s="28"/>
      <c r="C102" s="28" t="s">
        <v>935</v>
      </c>
      <c r="D102" s="28" t="s">
        <v>519</v>
      </c>
      <c r="E102" s="29">
        <v>-44000</v>
      </c>
      <c r="F102" s="30">
        <v>-518.18799999999999</v>
      </c>
      <c r="G102" s="31">
        <f t="shared" si="0"/>
        <v>-4.8566761656550052E-3</v>
      </c>
      <c r="H102" s="24" t="s">
        <v>146</v>
      </c>
    </row>
    <row r="103" spans="1:8" ht="25.5" x14ac:dyDescent="0.2">
      <c r="A103" s="27">
        <v>19</v>
      </c>
      <c r="B103" s="28"/>
      <c r="C103" s="28" t="s">
        <v>934</v>
      </c>
      <c r="D103" s="28" t="s">
        <v>519</v>
      </c>
      <c r="E103" s="29">
        <v>-208000</v>
      </c>
      <c r="F103" s="30">
        <v>-572.41600000000005</v>
      </c>
      <c r="G103" s="31">
        <f t="shared" si="0"/>
        <v>-5.3649238192308114E-3</v>
      </c>
      <c r="H103" s="24" t="s">
        <v>146</v>
      </c>
    </row>
    <row r="104" spans="1:8" x14ac:dyDescent="0.2">
      <c r="A104" s="27">
        <v>20</v>
      </c>
      <c r="B104" s="28"/>
      <c r="C104" s="28" t="s">
        <v>927</v>
      </c>
      <c r="D104" s="28" t="s">
        <v>519</v>
      </c>
      <c r="E104" s="29">
        <v>-178500</v>
      </c>
      <c r="F104" s="30">
        <v>-580.92825000000005</v>
      </c>
      <c r="G104" s="31">
        <f t="shared" si="0"/>
        <v>-5.4447042110791306E-3</v>
      </c>
      <c r="H104" s="24" t="s">
        <v>146</v>
      </c>
    </row>
    <row r="105" spans="1:8" x14ac:dyDescent="0.2">
      <c r="A105" s="27">
        <v>21</v>
      </c>
      <c r="B105" s="28"/>
      <c r="C105" s="28" t="s">
        <v>986</v>
      </c>
      <c r="D105" s="28" t="s">
        <v>519</v>
      </c>
      <c r="E105" s="29">
        <v>-63450</v>
      </c>
      <c r="F105" s="30">
        <v>-602.71154999999999</v>
      </c>
      <c r="G105" s="31">
        <f t="shared" si="0"/>
        <v>-5.6488664724964393E-3</v>
      </c>
      <c r="H105" s="24" t="s">
        <v>146</v>
      </c>
    </row>
    <row r="106" spans="1:8" x14ac:dyDescent="0.2">
      <c r="A106" s="27">
        <v>22</v>
      </c>
      <c r="B106" s="28"/>
      <c r="C106" s="28" t="s">
        <v>987</v>
      </c>
      <c r="D106" s="28" t="s">
        <v>519</v>
      </c>
      <c r="E106" s="29">
        <v>-15750</v>
      </c>
      <c r="F106" s="30">
        <v>-682.67587500000002</v>
      </c>
      <c r="G106" s="31">
        <f t="shared" si="0"/>
        <v>-6.3983258025662034E-3</v>
      </c>
      <c r="H106" s="24" t="s">
        <v>146</v>
      </c>
    </row>
    <row r="107" spans="1:8" x14ac:dyDescent="0.2">
      <c r="A107" s="27">
        <v>23</v>
      </c>
      <c r="B107" s="28"/>
      <c r="C107" s="28" t="s">
        <v>988</v>
      </c>
      <c r="D107" s="28" t="s">
        <v>519</v>
      </c>
      <c r="E107" s="29">
        <v>-29750</v>
      </c>
      <c r="F107" s="30">
        <v>-733.42674999999997</v>
      </c>
      <c r="G107" s="31">
        <f t="shared" si="0"/>
        <v>-6.8739843762858502E-3</v>
      </c>
      <c r="H107" s="24" t="s">
        <v>146</v>
      </c>
    </row>
    <row r="108" spans="1:8" x14ac:dyDescent="0.2">
      <c r="A108" s="27">
        <v>24</v>
      </c>
      <c r="B108" s="28"/>
      <c r="C108" s="28" t="s">
        <v>943</v>
      </c>
      <c r="D108" s="28" t="s">
        <v>519</v>
      </c>
      <c r="E108" s="29">
        <v>-406575</v>
      </c>
      <c r="F108" s="30">
        <v>-870.35510250000004</v>
      </c>
      <c r="G108" s="31">
        <f t="shared" si="0"/>
        <v>-8.1573345619118335E-3</v>
      </c>
      <c r="H108" s="24" t="s">
        <v>146</v>
      </c>
    </row>
    <row r="109" spans="1:8" x14ac:dyDescent="0.2">
      <c r="A109" s="27">
        <v>25</v>
      </c>
      <c r="B109" s="28"/>
      <c r="C109" s="28" t="s">
        <v>948</v>
      </c>
      <c r="D109" s="28" t="s">
        <v>519</v>
      </c>
      <c r="E109" s="29">
        <v>-149800</v>
      </c>
      <c r="F109" s="30">
        <v>-894.98009999999999</v>
      </c>
      <c r="G109" s="31">
        <f t="shared" si="0"/>
        <v>-8.3881304090514114E-3</v>
      </c>
      <c r="H109" s="24" t="s">
        <v>146</v>
      </c>
    </row>
    <row r="110" spans="1:8" x14ac:dyDescent="0.2">
      <c r="A110" s="27">
        <v>26</v>
      </c>
      <c r="B110" s="28"/>
      <c r="C110" s="28" t="s">
        <v>958</v>
      </c>
      <c r="D110" s="28" t="s">
        <v>519</v>
      </c>
      <c r="E110" s="29">
        <v>-72800</v>
      </c>
      <c r="F110" s="30">
        <v>-915.42359999999996</v>
      </c>
      <c r="G110" s="31">
        <f t="shared" si="0"/>
        <v>-8.5797355006254506E-3</v>
      </c>
      <c r="H110" s="24" t="s">
        <v>146</v>
      </c>
    </row>
    <row r="111" spans="1:8" x14ac:dyDescent="0.2">
      <c r="A111" s="27">
        <v>27</v>
      </c>
      <c r="B111" s="28"/>
      <c r="C111" s="28" t="s">
        <v>989</v>
      </c>
      <c r="D111" s="28" t="s">
        <v>519</v>
      </c>
      <c r="E111" s="29">
        <v>-47700</v>
      </c>
      <c r="F111" s="30">
        <v>-1183.36545</v>
      </c>
      <c r="G111" s="31">
        <f t="shared" si="0"/>
        <v>-1.1090999359835832E-2</v>
      </c>
      <c r="H111" s="24" t="s">
        <v>146</v>
      </c>
    </row>
    <row r="112" spans="1:8" x14ac:dyDescent="0.2">
      <c r="A112" s="27">
        <v>28</v>
      </c>
      <c r="B112" s="28"/>
      <c r="C112" s="28" t="s">
        <v>990</v>
      </c>
      <c r="D112" s="28" t="s">
        <v>519</v>
      </c>
      <c r="E112" s="29">
        <v>-10300</v>
      </c>
      <c r="F112" s="30">
        <v>-1269.6655499999999</v>
      </c>
      <c r="G112" s="31">
        <f t="shared" si="0"/>
        <v>-1.1899840241453397E-2</v>
      </c>
      <c r="H112" s="24" t="s">
        <v>146</v>
      </c>
    </row>
    <row r="113" spans="1:8" x14ac:dyDescent="0.2">
      <c r="A113" s="27">
        <v>29</v>
      </c>
      <c r="B113" s="28"/>
      <c r="C113" s="28" t="s">
        <v>960</v>
      </c>
      <c r="D113" s="28" t="s">
        <v>519</v>
      </c>
      <c r="E113" s="29">
        <v>-321600</v>
      </c>
      <c r="F113" s="30">
        <v>-1428.2256</v>
      </c>
      <c r="G113" s="31">
        <f t="shared" si="0"/>
        <v>-1.3385931806020825E-2</v>
      </c>
      <c r="H113" s="24" t="s">
        <v>146</v>
      </c>
    </row>
    <row r="114" spans="1:8" x14ac:dyDescent="0.2">
      <c r="A114" s="27">
        <v>30</v>
      </c>
      <c r="B114" s="28"/>
      <c r="C114" s="28" t="s">
        <v>953</v>
      </c>
      <c r="D114" s="28" t="s">
        <v>519</v>
      </c>
      <c r="E114" s="29">
        <v>-43200</v>
      </c>
      <c r="F114" s="30">
        <v>-1546.2360000000001</v>
      </c>
      <c r="G114" s="31">
        <f t="shared" si="0"/>
        <v>-1.4491974973711729E-2</v>
      </c>
      <c r="H114" s="24" t="s">
        <v>146</v>
      </c>
    </row>
    <row r="115" spans="1:8" x14ac:dyDescent="0.2">
      <c r="A115" s="27">
        <v>31</v>
      </c>
      <c r="B115" s="28"/>
      <c r="C115" s="28" t="s">
        <v>949</v>
      </c>
      <c r="D115" s="28" t="s">
        <v>519</v>
      </c>
      <c r="E115" s="29">
        <v>-209000</v>
      </c>
      <c r="F115" s="30">
        <v>-2085.8200000000002</v>
      </c>
      <c r="G115" s="31">
        <f t="shared" si="0"/>
        <v>-1.9549183462076552E-2</v>
      </c>
      <c r="H115" s="24" t="s">
        <v>146</v>
      </c>
    </row>
    <row r="116" spans="1:8" x14ac:dyDescent="0.2">
      <c r="A116" s="27">
        <v>32</v>
      </c>
      <c r="B116" s="28"/>
      <c r="C116" s="28" t="s">
        <v>941</v>
      </c>
      <c r="D116" s="28" t="s">
        <v>519</v>
      </c>
      <c r="E116" s="29">
        <v>-117600</v>
      </c>
      <c r="F116" s="30">
        <v>-2247.5124000000001</v>
      </c>
      <c r="G116" s="31">
        <f t="shared" si="0"/>
        <v>-2.1064632730001618E-2</v>
      </c>
      <c r="H116" s="24" t="s">
        <v>146</v>
      </c>
    </row>
    <row r="117" spans="1:8" x14ac:dyDescent="0.2">
      <c r="A117" s="27">
        <v>33</v>
      </c>
      <c r="B117" s="28"/>
      <c r="C117" s="28" t="s">
        <v>954</v>
      </c>
      <c r="D117" s="28" t="s">
        <v>519</v>
      </c>
      <c r="E117" s="29">
        <v>-302500</v>
      </c>
      <c r="F117" s="30">
        <v>-2996.1112499999999</v>
      </c>
      <c r="G117" s="31">
        <f t="shared" si="0"/>
        <v>-2.8080816417064509E-2</v>
      </c>
      <c r="H117" s="24" t="s">
        <v>146</v>
      </c>
    </row>
    <row r="118" spans="1:8" x14ac:dyDescent="0.2">
      <c r="A118" s="27">
        <v>34</v>
      </c>
      <c r="B118" s="28"/>
      <c r="C118" s="28" t="s">
        <v>932</v>
      </c>
      <c r="D118" s="28" t="s">
        <v>519</v>
      </c>
      <c r="E118" s="29">
        <v>-104650</v>
      </c>
      <c r="F118" s="30">
        <v>-3147.1917749999998</v>
      </c>
      <c r="G118" s="31">
        <f t="shared" si="0"/>
        <v>-2.9496806723405346E-2</v>
      </c>
      <c r="H118" s="24" t="s">
        <v>146</v>
      </c>
    </row>
    <row r="119" spans="1:8" x14ac:dyDescent="0.2">
      <c r="A119" s="27">
        <v>35</v>
      </c>
      <c r="B119" s="28"/>
      <c r="C119" s="28" t="s">
        <v>991</v>
      </c>
      <c r="D119" s="28" t="s">
        <v>519</v>
      </c>
      <c r="E119" s="29">
        <v>-191100</v>
      </c>
      <c r="F119" s="30">
        <v>-3316.2538500000001</v>
      </c>
      <c r="G119" s="31">
        <f t="shared" si="0"/>
        <v>-3.1081327689094787E-2</v>
      </c>
      <c r="H119" s="24" t="s">
        <v>146</v>
      </c>
    </row>
    <row r="120" spans="1:8" x14ac:dyDescent="0.2">
      <c r="A120" s="27">
        <v>36</v>
      </c>
      <c r="B120" s="28"/>
      <c r="C120" s="28" t="s">
        <v>945</v>
      </c>
      <c r="D120" s="28" t="s">
        <v>519</v>
      </c>
      <c r="E120" s="29">
        <v>-244625</v>
      </c>
      <c r="F120" s="30">
        <v>-3996.3163125000001</v>
      </c>
      <c r="G120" s="31">
        <f t="shared" si="0"/>
        <v>-3.7455159489098645E-2</v>
      </c>
      <c r="H120" s="24" t="s">
        <v>146</v>
      </c>
    </row>
    <row r="121" spans="1:8" x14ac:dyDescent="0.2">
      <c r="A121" s="27">
        <v>37</v>
      </c>
      <c r="B121" s="28"/>
      <c r="C121" s="28" t="s">
        <v>969</v>
      </c>
      <c r="D121" s="28" t="s">
        <v>519</v>
      </c>
      <c r="E121" s="29">
        <v>-222400</v>
      </c>
      <c r="F121" s="30">
        <v>-4199.1343999999999</v>
      </c>
      <c r="G121" s="31">
        <f t="shared" si="0"/>
        <v>-3.9356056019942631E-2</v>
      </c>
      <c r="H121" s="24" t="s">
        <v>146</v>
      </c>
    </row>
    <row r="122" spans="1:8" x14ac:dyDescent="0.2">
      <c r="A122" s="27">
        <v>38</v>
      </c>
      <c r="B122" s="28"/>
      <c r="C122" s="28" t="s">
        <v>961</v>
      </c>
      <c r="D122" s="28" t="s">
        <v>519</v>
      </c>
      <c r="E122" s="29">
        <v>-609500</v>
      </c>
      <c r="F122" s="30">
        <v>-7740.9547499999999</v>
      </c>
      <c r="G122" s="31">
        <f t="shared" si="0"/>
        <v>-7.2551487942096107E-2</v>
      </c>
      <c r="H122" s="24" t="s">
        <v>146</v>
      </c>
    </row>
    <row r="123" spans="1:8" x14ac:dyDescent="0.2">
      <c r="A123" s="25"/>
      <c r="B123" s="25"/>
      <c r="C123" s="26" t="s">
        <v>145</v>
      </c>
      <c r="D123" s="25"/>
      <c r="E123" s="25" t="s">
        <v>146</v>
      </c>
      <c r="F123" s="32">
        <v>-44404.437039999997</v>
      </c>
      <c r="G123" s="33">
        <v>-0.41617713000000001</v>
      </c>
      <c r="H123" s="24" t="s">
        <v>146</v>
      </c>
    </row>
    <row r="124" spans="1:8" x14ac:dyDescent="0.2">
      <c r="A124" s="25"/>
      <c r="B124" s="25"/>
      <c r="C124" s="34"/>
      <c r="D124" s="25"/>
      <c r="E124" s="25"/>
      <c r="F124" s="35"/>
      <c r="G124" s="35"/>
      <c r="H124" s="24" t="s">
        <v>146</v>
      </c>
    </row>
    <row r="125" spans="1:8" x14ac:dyDescent="0.2">
      <c r="A125" s="25"/>
      <c r="B125" s="25"/>
      <c r="C125" s="26" t="s">
        <v>153</v>
      </c>
      <c r="D125" s="25"/>
      <c r="E125" s="25"/>
      <c r="F125" s="32">
        <f>F70</f>
        <v>77300.271084499997</v>
      </c>
      <c r="G125" s="33">
        <f>G70</f>
        <v>0.72449078</v>
      </c>
      <c r="H125" s="24" t="s">
        <v>146</v>
      </c>
    </row>
    <row r="126" spans="1:8" x14ac:dyDescent="0.2">
      <c r="A126" s="25"/>
      <c r="B126" s="25"/>
      <c r="C126" s="34"/>
      <c r="D126" s="25"/>
      <c r="E126" s="25"/>
      <c r="F126" s="35"/>
      <c r="G126" s="35"/>
      <c r="H126" s="24" t="s">
        <v>146</v>
      </c>
    </row>
    <row r="127" spans="1:8" x14ac:dyDescent="0.2">
      <c r="A127" s="25"/>
      <c r="B127" s="25"/>
      <c r="C127" s="26" t="s">
        <v>154</v>
      </c>
      <c r="D127" s="25"/>
      <c r="E127" s="25"/>
      <c r="F127" s="35"/>
      <c r="G127" s="35"/>
      <c r="H127" s="24" t="s">
        <v>146</v>
      </c>
    </row>
    <row r="128" spans="1:8" x14ac:dyDescent="0.2">
      <c r="A128" s="25"/>
      <c r="B128" s="25"/>
      <c r="C128" s="26" t="s">
        <v>10</v>
      </c>
      <c r="D128" s="25"/>
      <c r="E128" s="25"/>
      <c r="F128" s="35"/>
      <c r="G128" s="35"/>
      <c r="H128" s="24" t="s">
        <v>146</v>
      </c>
    </row>
    <row r="129" spans="1:8" x14ac:dyDescent="0.2">
      <c r="A129" s="27">
        <v>1</v>
      </c>
      <c r="B129" s="28" t="s">
        <v>709</v>
      </c>
      <c r="C129" s="28" t="s">
        <v>710</v>
      </c>
      <c r="D129" s="28" t="s">
        <v>546</v>
      </c>
      <c r="E129" s="29">
        <v>250</v>
      </c>
      <c r="F129" s="30">
        <v>2451.71</v>
      </c>
      <c r="G129" s="31">
        <v>2.2978459999999999E-2</v>
      </c>
      <c r="H129" s="24">
        <v>7.7050000000000001</v>
      </c>
    </row>
    <row r="130" spans="1:8" ht="25.5" x14ac:dyDescent="0.2">
      <c r="A130" s="27">
        <v>2</v>
      </c>
      <c r="B130" s="28" t="s">
        <v>571</v>
      </c>
      <c r="C130" s="28" t="s">
        <v>572</v>
      </c>
      <c r="D130" s="28" t="s">
        <v>546</v>
      </c>
      <c r="E130" s="29">
        <v>1500</v>
      </c>
      <c r="F130" s="30">
        <v>1494.4784999999999</v>
      </c>
      <c r="G130" s="31">
        <v>1.4006879999999999E-2</v>
      </c>
      <c r="H130" s="24">
        <v>7.64</v>
      </c>
    </row>
    <row r="131" spans="1:8" ht="25.5" x14ac:dyDescent="0.2">
      <c r="A131" s="27">
        <v>3</v>
      </c>
      <c r="B131" s="28" t="s">
        <v>558</v>
      </c>
      <c r="C131" s="28" t="s">
        <v>559</v>
      </c>
      <c r="D131" s="28" t="s">
        <v>546</v>
      </c>
      <c r="E131" s="29">
        <v>1000</v>
      </c>
      <c r="F131" s="30">
        <v>1009.8049999999999</v>
      </c>
      <c r="G131" s="31">
        <v>9.46432E-3</v>
      </c>
      <c r="H131" s="24">
        <v>7.2024999999999997</v>
      </c>
    </row>
    <row r="132" spans="1:8" ht="25.5" x14ac:dyDescent="0.2">
      <c r="A132" s="27">
        <v>4</v>
      </c>
      <c r="B132" s="28" t="s">
        <v>541</v>
      </c>
      <c r="C132" s="28" t="s">
        <v>542</v>
      </c>
      <c r="D132" s="28" t="s">
        <v>543</v>
      </c>
      <c r="E132" s="29">
        <v>1000</v>
      </c>
      <c r="F132" s="30">
        <v>1004.542</v>
      </c>
      <c r="G132" s="31">
        <v>9.4149899999999998E-3</v>
      </c>
      <c r="H132" s="24">
        <v>7.5442999999999998</v>
      </c>
    </row>
    <row r="133" spans="1:8" x14ac:dyDescent="0.2">
      <c r="A133" s="27">
        <v>5</v>
      </c>
      <c r="B133" s="28" t="s">
        <v>711</v>
      </c>
      <c r="C133" s="28" t="s">
        <v>712</v>
      </c>
      <c r="D133" s="28" t="s">
        <v>546</v>
      </c>
      <c r="E133" s="29">
        <v>1000</v>
      </c>
      <c r="F133" s="30">
        <v>999.51400000000001</v>
      </c>
      <c r="G133" s="31">
        <v>9.3678700000000004E-3</v>
      </c>
      <c r="H133" s="24">
        <v>7.625</v>
      </c>
    </row>
    <row r="134" spans="1:8" ht="25.5" x14ac:dyDescent="0.2">
      <c r="A134" s="27">
        <v>6</v>
      </c>
      <c r="B134" s="28" t="s">
        <v>713</v>
      </c>
      <c r="C134" s="28" t="s">
        <v>714</v>
      </c>
      <c r="D134" s="28" t="s">
        <v>546</v>
      </c>
      <c r="E134" s="29">
        <v>1000</v>
      </c>
      <c r="F134" s="30">
        <v>997.60599999999999</v>
      </c>
      <c r="G134" s="31">
        <v>9.3499800000000008E-3</v>
      </c>
      <c r="H134" s="24">
        <v>7.62</v>
      </c>
    </row>
    <row r="135" spans="1:8" x14ac:dyDescent="0.2">
      <c r="A135" s="25"/>
      <c r="B135" s="25"/>
      <c r="C135" s="26" t="s">
        <v>145</v>
      </c>
      <c r="D135" s="25"/>
      <c r="E135" s="25" t="s">
        <v>146</v>
      </c>
      <c r="F135" s="32">
        <v>7957.6554999999998</v>
      </c>
      <c r="G135" s="33">
        <v>7.4582499999999996E-2</v>
      </c>
      <c r="H135" s="24" t="s">
        <v>146</v>
      </c>
    </row>
    <row r="136" spans="1:8" x14ac:dyDescent="0.2">
      <c r="A136" s="25"/>
      <c r="B136" s="25"/>
      <c r="C136" s="34"/>
      <c r="D136" s="25"/>
      <c r="E136" s="25"/>
      <c r="F136" s="35"/>
      <c r="G136" s="35"/>
      <c r="H136" s="24" t="s">
        <v>146</v>
      </c>
    </row>
    <row r="137" spans="1:8" x14ac:dyDescent="0.2">
      <c r="A137" s="25"/>
      <c r="B137" s="25"/>
      <c r="C137" s="26" t="s">
        <v>155</v>
      </c>
      <c r="D137" s="25"/>
      <c r="E137" s="25"/>
      <c r="F137" s="25"/>
      <c r="G137" s="25"/>
      <c r="H137" s="24" t="s">
        <v>146</v>
      </c>
    </row>
    <row r="138" spans="1:8" x14ac:dyDescent="0.2">
      <c r="A138" s="25"/>
      <c r="B138" s="25"/>
      <c r="C138" s="26" t="s">
        <v>145</v>
      </c>
      <c r="D138" s="25"/>
      <c r="E138" s="25" t="s">
        <v>146</v>
      </c>
      <c r="F138" s="36" t="s">
        <v>148</v>
      </c>
      <c r="G138" s="33">
        <v>0</v>
      </c>
      <c r="H138" s="24" t="s">
        <v>146</v>
      </c>
    </row>
    <row r="139" spans="1:8" x14ac:dyDescent="0.2">
      <c r="A139" s="25"/>
      <c r="B139" s="25"/>
      <c r="C139" s="34"/>
      <c r="D139" s="25"/>
      <c r="E139" s="25"/>
      <c r="F139" s="35"/>
      <c r="G139" s="35"/>
      <c r="H139" s="24" t="s">
        <v>146</v>
      </c>
    </row>
    <row r="140" spans="1:8" x14ac:dyDescent="0.2">
      <c r="A140" s="25"/>
      <c r="B140" s="25"/>
      <c r="C140" s="26" t="s">
        <v>156</v>
      </c>
      <c r="D140" s="25"/>
      <c r="E140" s="25"/>
      <c r="F140" s="25"/>
      <c r="G140" s="25"/>
      <c r="H140" s="24" t="s">
        <v>146</v>
      </c>
    </row>
    <row r="141" spans="1:8" ht="25.5" x14ac:dyDescent="0.2">
      <c r="A141" s="27">
        <v>1</v>
      </c>
      <c r="B141" s="28" t="s">
        <v>610</v>
      </c>
      <c r="C141" s="28" t="s">
        <v>1087</v>
      </c>
      <c r="D141" s="28" t="s">
        <v>521</v>
      </c>
      <c r="E141" s="29">
        <v>6500000</v>
      </c>
      <c r="F141" s="30">
        <v>6656.4160000000002</v>
      </c>
      <c r="G141" s="31">
        <v>6.2386730000000001E-2</v>
      </c>
      <c r="H141" s="24">
        <v>6.8559999999999999</v>
      </c>
    </row>
    <row r="142" spans="1:8" ht="25.5" x14ac:dyDescent="0.2">
      <c r="A142" s="27">
        <v>2</v>
      </c>
      <c r="B142" s="28" t="s">
        <v>612</v>
      </c>
      <c r="C142" s="28" t="s">
        <v>1079</v>
      </c>
      <c r="D142" s="28" t="s">
        <v>521</v>
      </c>
      <c r="E142" s="29">
        <v>1500000</v>
      </c>
      <c r="F142" s="30">
        <v>1553.0160000000001</v>
      </c>
      <c r="G142" s="31">
        <v>1.4555520000000001E-2</v>
      </c>
      <c r="H142" s="24">
        <v>6.9523999999999999</v>
      </c>
    </row>
    <row r="143" spans="1:8" x14ac:dyDescent="0.2">
      <c r="A143" s="27">
        <v>3</v>
      </c>
      <c r="B143" s="28" t="s">
        <v>715</v>
      </c>
      <c r="C143" s="28" t="s">
        <v>1088</v>
      </c>
      <c r="D143" s="28" t="s">
        <v>521</v>
      </c>
      <c r="E143" s="29">
        <v>1500000</v>
      </c>
      <c r="F143" s="30">
        <v>1536.1215</v>
      </c>
      <c r="G143" s="31">
        <v>1.4397180000000001E-2</v>
      </c>
      <c r="H143" s="24">
        <v>6.7355999999999998</v>
      </c>
    </row>
    <row r="144" spans="1:8" ht="25.5" x14ac:dyDescent="0.2">
      <c r="A144" s="27">
        <v>4</v>
      </c>
      <c r="B144" s="28" t="s">
        <v>717</v>
      </c>
      <c r="C144" s="28" t="s">
        <v>718</v>
      </c>
      <c r="D144" s="28" t="s">
        <v>521</v>
      </c>
      <c r="E144" s="29">
        <v>500000</v>
      </c>
      <c r="F144" s="30">
        <v>507.63</v>
      </c>
      <c r="G144" s="31">
        <v>4.75772E-3</v>
      </c>
      <c r="H144" s="24">
        <v>6.7359999999999998</v>
      </c>
    </row>
    <row r="145" spans="1:8" x14ac:dyDescent="0.2">
      <c r="A145" s="25"/>
      <c r="B145" s="25"/>
      <c r="C145" s="26" t="s">
        <v>145</v>
      </c>
      <c r="D145" s="25"/>
      <c r="E145" s="25" t="s">
        <v>146</v>
      </c>
      <c r="F145" s="32">
        <v>10253.183499999999</v>
      </c>
      <c r="G145" s="33">
        <v>9.6097150000000006E-2</v>
      </c>
      <c r="H145" s="24" t="s">
        <v>146</v>
      </c>
    </row>
    <row r="146" spans="1:8" x14ac:dyDescent="0.2">
      <c r="A146" s="25"/>
      <c r="B146" s="25"/>
      <c r="C146" s="34"/>
      <c r="D146" s="25"/>
      <c r="E146" s="25"/>
      <c r="F146" s="35"/>
      <c r="G146" s="35"/>
      <c r="H146" s="24" t="s">
        <v>146</v>
      </c>
    </row>
    <row r="147" spans="1:8" x14ac:dyDescent="0.2">
      <c r="A147" s="25"/>
      <c r="B147" s="25"/>
      <c r="C147" s="26" t="s">
        <v>157</v>
      </c>
      <c r="D147" s="25"/>
      <c r="E147" s="25"/>
      <c r="F147" s="35"/>
      <c r="G147" s="35"/>
      <c r="H147" s="24" t="s">
        <v>146</v>
      </c>
    </row>
    <row r="148" spans="1:8" x14ac:dyDescent="0.2">
      <c r="A148" s="25"/>
      <c r="B148" s="25"/>
      <c r="C148" s="26" t="s">
        <v>145</v>
      </c>
      <c r="D148" s="25"/>
      <c r="E148" s="25" t="s">
        <v>146</v>
      </c>
      <c r="F148" s="36" t="s">
        <v>148</v>
      </c>
      <c r="G148" s="33">
        <v>0</v>
      </c>
      <c r="H148" s="24" t="s">
        <v>146</v>
      </c>
    </row>
    <row r="149" spans="1:8" x14ac:dyDescent="0.2">
      <c r="A149" s="25"/>
      <c r="B149" s="25"/>
      <c r="C149" s="34"/>
      <c r="D149" s="25"/>
      <c r="E149" s="25"/>
      <c r="F149" s="35"/>
      <c r="G149" s="35"/>
      <c r="H149" s="24" t="s">
        <v>146</v>
      </c>
    </row>
    <row r="150" spans="1:8" x14ac:dyDescent="0.2">
      <c r="A150" s="25"/>
      <c r="B150" s="25"/>
      <c r="C150" s="26" t="s">
        <v>158</v>
      </c>
      <c r="D150" s="25"/>
      <c r="E150" s="25"/>
      <c r="F150" s="32">
        <v>18210.839</v>
      </c>
      <c r="G150" s="33">
        <v>0.17067964999999999</v>
      </c>
      <c r="H150" s="24" t="s">
        <v>146</v>
      </c>
    </row>
    <row r="151" spans="1:8" x14ac:dyDescent="0.2">
      <c r="A151" s="25"/>
      <c r="B151" s="25"/>
      <c r="C151" s="34"/>
      <c r="D151" s="25"/>
      <c r="E151" s="25"/>
      <c r="F151" s="35"/>
      <c r="G151" s="35"/>
      <c r="H151" s="24" t="s">
        <v>146</v>
      </c>
    </row>
    <row r="152" spans="1:8" x14ac:dyDescent="0.2">
      <c r="A152" s="25"/>
      <c r="B152" s="25"/>
      <c r="C152" s="26" t="s">
        <v>159</v>
      </c>
      <c r="D152" s="25"/>
      <c r="E152" s="25"/>
      <c r="F152" s="35"/>
      <c r="G152" s="35"/>
      <c r="H152" s="24" t="s">
        <v>146</v>
      </c>
    </row>
    <row r="153" spans="1:8" x14ac:dyDescent="0.2">
      <c r="A153" s="25"/>
      <c r="B153" s="25"/>
      <c r="C153" s="26" t="s">
        <v>160</v>
      </c>
      <c r="D153" s="25"/>
      <c r="E153" s="25"/>
      <c r="F153" s="35"/>
      <c r="G153" s="35"/>
      <c r="H153" s="24" t="s">
        <v>146</v>
      </c>
    </row>
    <row r="154" spans="1:8" x14ac:dyDescent="0.2">
      <c r="A154" s="27">
        <v>1</v>
      </c>
      <c r="B154" s="28" t="s">
        <v>719</v>
      </c>
      <c r="C154" s="28" t="s">
        <v>720</v>
      </c>
      <c r="D154" s="28" t="s">
        <v>630</v>
      </c>
      <c r="E154" s="29">
        <v>500</v>
      </c>
      <c r="F154" s="30">
        <v>2350.2525000000001</v>
      </c>
      <c r="G154" s="31">
        <v>2.2027560000000002E-2</v>
      </c>
      <c r="H154" s="24">
        <v>7.6</v>
      </c>
    </row>
    <row r="155" spans="1:8" x14ac:dyDescent="0.2">
      <c r="A155" s="27">
        <v>2</v>
      </c>
      <c r="B155" s="28" t="s">
        <v>721</v>
      </c>
      <c r="C155" s="28" t="s">
        <v>722</v>
      </c>
      <c r="D155" s="28" t="s">
        <v>630</v>
      </c>
      <c r="E155" s="29">
        <v>500</v>
      </c>
      <c r="F155" s="30">
        <v>2338.4524999999999</v>
      </c>
      <c r="G155" s="31">
        <v>2.1916959999999999E-2</v>
      </c>
      <c r="H155" s="24">
        <v>7.5949999999999998</v>
      </c>
    </row>
    <row r="156" spans="1:8" x14ac:dyDescent="0.2">
      <c r="A156" s="25"/>
      <c r="B156" s="25"/>
      <c r="C156" s="26" t="s">
        <v>145</v>
      </c>
      <c r="D156" s="25"/>
      <c r="E156" s="25" t="s">
        <v>146</v>
      </c>
      <c r="F156" s="32">
        <v>4688.7049999999999</v>
      </c>
      <c r="G156" s="33">
        <v>4.3944520000000001E-2</v>
      </c>
      <c r="H156" s="24" t="s">
        <v>146</v>
      </c>
    </row>
    <row r="157" spans="1:8" x14ac:dyDescent="0.2">
      <c r="A157" s="25"/>
      <c r="B157" s="25"/>
      <c r="C157" s="34"/>
      <c r="D157" s="25"/>
      <c r="E157" s="25"/>
      <c r="F157" s="35"/>
      <c r="G157" s="35"/>
      <c r="H157" s="24" t="s">
        <v>146</v>
      </c>
    </row>
    <row r="158" spans="1:8" x14ac:dyDescent="0.2">
      <c r="A158" s="25"/>
      <c r="B158" s="25"/>
      <c r="C158" s="26" t="s">
        <v>161</v>
      </c>
      <c r="D158" s="25"/>
      <c r="E158" s="25"/>
      <c r="F158" s="35"/>
      <c r="G158" s="35"/>
      <c r="H158" s="24" t="s">
        <v>146</v>
      </c>
    </row>
    <row r="159" spans="1:8" x14ac:dyDescent="0.2">
      <c r="A159" s="25"/>
      <c r="B159" s="25"/>
      <c r="C159" s="26" t="s">
        <v>145</v>
      </c>
      <c r="D159" s="25"/>
      <c r="E159" s="25" t="s">
        <v>146</v>
      </c>
      <c r="F159" s="36" t="s">
        <v>148</v>
      </c>
      <c r="G159" s="33">
        <v>0</v>
      </c>
      <c r="H159" s="24" t="s">
        <v>146</v>
      </c>
    </row>
    <row r="160" spans="1:8" x14ac:dyDescent="0.2">
      <c r="A160" s="25"/>
      <c r="B160" s="25"/>
      <c r="C160" s="34"/>
      <c r="D160" s="25"/>
      <c r="E160" s="25"/>
      <c r="F160" s="35"/>
      <c r="G160" s="35"/>
      <c r="H160" s="24" t="s">
        <v>146</v>
      </c>
    </row>
    <row r="161" spans="1:8" x14ac:dyDescent="0.2">
      <c r="A161" s="25"/>
      <c r="B161" s="25"/>
      <c r="C161" s="26" t="s">
        <v>162</v>
      </c>
      <c r="D161" s="25"/>
      <c r="E161" s="25"/>
      <c r="F161" s="35"/>
      <c r="G161" s="35"/>
      <c r="H161" s="24" t="s">
        <v>146</v>
      </c>
    </row>
    <row r="162" spans="1:8" x14ac:dyDescent="0.2">
      <c r="A162" s="27">
        <v>1</v>
      </c>
      <c r="B162" s="28" t="s">
        <v>723</v>
      </c>
      <c r="C162" s="28" t="s">
        <v>724</v>
      </c>
      <c r="D162" s="28" t="s">
        <v>521</v>
      </c>
      <c r="E162" s="29">
        <v>2500000</v>
      </c>
      <c r="F162" s="30">
        <v>2363.5500000000002</v>
      </c>
      <c r="G162" s="31">
        <v>2.2152189999999999E-2</v>
      </c>
      <c r="H162" s="24">
        <v>6.585</v>
      </c>
    </row>
    <row r="163" spans="1:8" x14ac:dyDescent="0.2">
      <c r="A163" s="25"/>
      <c r="B163" s="25"/>
      <c r="C163" s="26" t="s">
        <v>145</v>
      </c>
      <c r="D163" s="25"/>
      <c r="E163" s="25" t="s">
        <v>146</v>
      </c>
      <c r="F163" s="32">
        <v>2363.5500000000002</v>
      </c>
      <c r="G163" s="33">
        <v>2.2152189999999999E-2</v>
      </c>
      <c r="H163" s="24" t="s">
        <v>146</v>
      </c>
    </row>
    <row r="164" spans="1:8" x14ac:dyDescent="0.2">
      <c r="A164" s="25"/>
      <c r="B164" s="25"/>
      <c r="C164" s="34"/>
      <c r="D164" s="25"/>
      <c r="E164" s="25"/>
      <c r="F164" s="35"/>
      <c r="G164" s="35"/>
      <c r="H164" s="24" t="s">
        <v>146</v>
      </c>
    </row>
    <row r="165" spans="1:8" x14ac:dyDescent="0.2">
      <c r="A165" s="25"/>
      <c r="B165" s="25"/>
      <c r="C165" s="26" t="s">
        <v>163</v>
      </c>
      <c r="D165" s="25"/>
      <c r="E165" s="25"/>
      <c r="F165" s="35"/>
      <c r="G165" s="35"/>
      <c r="H165" s="24" t="s">
        <v>146</v>
      </c>
    </row>
    <row r="166" spans="1:8" x14ac:dyDescent="0.2">
      <c r="A166" s="27">
        <v>1</v>
      </c>
      <c r="B166" s="28"/>
      <c r="C166" s="28" t="s">
        <v>164</v>
      </c>
      <c r="D166" s="28"/>
      <c r="E166" s="38"/>
      <c r="F166" s="30">
        <v>3187.029012988</v>
      </c>
      <c r="G166" s="31">
        <v>2.987018E-2</v>
      </c>
      <c r="H166" s="24">
        <v>6.57</v>
      </c>
    </row>
    <row r="167" spans="1:8" x14ac:dyDescent="0.2">
      <c r="A167" s="25"/>
      <c r="B167" s="25"/>
      <c r="C167" s="26" t="s">
        <v>145</v>
      </c>
      <c r="D167" s="25"/>
      <c r="E167" s="25" t="s">
        <v>146</v>
      </c>
      <c r="F167" s="32">
        <v>3187.029012988</v>
      </c>
      <c r="G167" s="33">
        <v>2.987018E-2</v>
      </c>
      <c r="H167" s="24" t="s">
        <v>146</v>
      </c>
    </row>
    <row r="168" spans="1:8" x14ac:dyDescent="0.2">
      <c r="A168" s="25"/>
      <c r="B168" s="25"/>
      <c r="C168" s="34"/>
      <c r="D168" s="25"/>
      <c r="E168" s="25"/>
      <c r="F168" s="35"/>
      <c r="G168" s="35"/>
      <c r="H168" s="24" t="s">
        <v>146</v>
      </c>
    </row>
    <row r="169" spans="1:8" x14ac:dyDescent="0.2">
      <c r="A169" s="25"/>
      <c r="B169" s="25"/>
      <c r="C169" s="26" t="s">
        <v>165</v>
      </c>
      <c r="D169" s="25"/>
      <c r="E169" s="25"/>
      <c r="F169" s="32">
        <v>10239.284012988001</v>
      </c>
      <c r="G169" s="33">
        <v>9.5966889999999999E-2</v>
      </c>
      <c r="H169" s="24" t="s">
        <v>146</v>
      </c>
    </row>
    <row r="170" spans="1:8" x14ac:dyDescent="0.2">
      <c r="A170" s="25"/>
      <c r="B170" s="25"/>
      <c r="C170" s="35"/>
      <c r="D170" s="25"/>
      <c r="E170" s="25"/>
      <c r="F170" s="25"/>
      <c r="G170" s="25"/>
      <c r="H170" s="24" t="s">
        <v>146</v>
      </c>
    </row>
    <row r="171" spans="1:8" x14ac:dyDescent="0.2">
      <c r="A171" s="25"/>
      <c r="B171" s="25"/>
      <c r="C171" s="26" t="s">
        <v>166</v>
      </c>
      <c r="D171" s="25"/>
      <c r="E171" s="25"/>
      <c r="F171" s="25"/>
      <c r="G171" s="25"/>
      <c r="H171" s="24" t="s">
        <v>146</v>
      </c>
    </row>
    <row r="172" spans="1:8" x14ac:dyDescent="0.2">
      <c r="A172" s="25"/>
      <c r="B172" s="25"/>
      <c r="C172" s="26" t="s">
        <v>167</v>
      </c>
      <c r="D172" s="25"/>
      <c r="E172" s="25"/>
      <c r="F172" s="25"/>
      <c r="G172" s="25"/>
      <c r="H172" s="24" t="s">
        <v>146</v>
      </c>
    </row>
    <row r="173" spans="1:8" x14ac:dyDescent="0.2">
      <c r="A173" s="25"/>
      <c r="B173" s="25"/>
      <c r="C173" s="26" t="s">
        <v>145</v>
      </c>
      <c r="D173" s="25"/>
      <c r="E173" s="25" t="s">
        <v>146</v>
      </c>
      <c r="F173" s="36" t="s">
        <v>148</v>
      </c>
      <c r="G173" s="33">
        <v>0</v>
      </c>
      <c r="H173" s="24" t="s">
        <v>146</v>
      </c>
    </row>
    <row r="174" spans="1:8" x14ac:dyDescent="0.2">
      <c r="A174" s="25"/>
      <c r="B174" s="25"/>
      <c r="C174" s="34"/>
      <c r="D174" s="25"/>
      <c r="E174" s="25"/>
      <c r="F174" s="35"/>
      <c r="G174" s="35"/>
      <c r="H174" s="24" t="s">
        <v>146</v>
      </c>
    </row>
    <row r="175" spans="1:8" x14ac:dyDescent="0.2">
      <c r="A175" s="25"/>
      <c r="B175" s="25"/>
      <c r="C175" s="26" t="s">
        <v>168</v>
      </c>
      <c r="D175" s="25"/>
      <c r="E175" s="25"/>
      <c r="F175" s="25"/>
      <c r="G175" s="25"/>
      <c r="H175" s="24" t="s">
        <v>146</v>
      </c>
    </row>
    <row r="176" spans="1:8" x14ac:dyDescent="0.2">
      <c r="A176" s="25"/>
      <c r="B176" s="25"/>
      <c r="C176" s="26" t="s">
        <v>169</v>
      </c>
      <c r="D176" s="25"/>
      <c r="E176" s="25"/>
      <c r="F176" s="25"/>
      <c r="G176" s="25"/>
      <c r="H176" s="24" t="s">
        <v>146</v>
      </c>
    </row>
    <row r="177" spans="1:17" x14ac:dyDescent="0.2">
      <c r="A177" s="25"/>
      <c r="B177" s="25"/>
      <c r="C177" s="26" t="s">
        <v>145</v>
      </c>
      <c r="D177" s="25"/>
      <c r="E177" s="25" t="s">
        <v>146</v>
      </c>
      <c r="F177" s="36" t="s">
        <v>148</v>
      </c>
      <c r="G177" s="33">
        <v>0</v>
      </c>
      <c r="H177" s="24" t="s">
        <v>146</v>
      </c>
    </row>
    <row r="178" spans="1:17" x14ac:dyDescent="0.2">
      <c r="A178" s="25"/>
      <c r="B178" s="25"/>
      <c r="C178" s="34"/>
      <c r="D178" s="25"/>
      <c r="E178" s="25"/>
      <c r="F178" s="35"/>
      <c r="G178" s="35"/>
      <c r="H178" s="24" t="s">
        <v>146</v>
      </c>
    </row>
    <row r="179" spans="1:17" x14ac:dyDescent="0.2">
      <c r="A179" s="25"/>
      <c r="B179" s="25"/>
      <c r="C179" s="26" t="s">
        <v>170</v>
      </c>
      <c r="D179" s="25"/>
      <c r="E179" s="25"/>
      <c r="F179" s="35"/>
      <c r="G179" s="35"/>
      <c r="H179" s="24" t="s">
        <v>146</v>
      </c>
    </row>
    <row r="180" spans="1:17" x14ac:dyDescent="0.2">
      <c r="A180" s="25"/>
      <c r="B180" s="25"/>
      <c r="C180" s="26" t="s">
        <v>145</v>
      </c>
      <c r="D180" s="25"/>
      <c r="E180" s="25" t="s">
        <v>146</v>
      </c>
      <c r="F180" s="36" t="s">
        <v>148</v>
      </c>
      <c r="G180" s="33">
        <v>0</v>
      </c>
      <c r="H180" s="24" t="s">
        <v>146</v>
      </c>
    </row>
    <row r="181" spans="1:17" x14ac:dyDescent="0.2">
      <c r="A181" s="25"/>
      <c r="B181" s="25"/>
      <c r="C181" s="34"/>
      <c r="D181" s="25"/>
      <c r="E181" s="25"/>
      <c r="F181" s="35"/>
      <c r="G181" s="35"/>
      <c r="H181" s="24" t="s">
        <v>146</v>
      </c>
    </row>
    <row r="182" spans="1:17" x14ac:dyDescent="0.2">
      <c r="A182" s="38"/>
      <c r="B182" s="28"/>
      <c r="C182" s="28" t="s">
        <v>522</v>
      </c>
      <c r="D182" s="28"/>
      <c r="E182" s="38"/>
      <c r="F182" s="30">
        <v>773.29796539999995</v>
      </c>
      <c r="G182" s="31">
        <v>7.2476700000000003E-3</v>
      </c>
      <c r="H182" s="24" t="s">
        <v>146</v>
      </c>
    </row>
    <row r="183" spans="1:17" x14ac:dyDescent="0.2">
      <c r="A183" s="38"/>
      <c r="B183" s="28"/>
      <c r="C183" s="37" t="s">
        <v>884</v>
      </c>
      <c r="D183" s="28"/>
      <c r="E183" s="38"/>
      <c r="F183" s="30">
        <f>44576.76141413+F123</f>
        <v>172.32437413000298</v>
      </c>
      <c r="G183" s="31">
        <f>F183/F184</f>
        <v>1.615096607020235E-3</v>
      </c>
      <c r="H183" s="24" t="s">
        <v>146</v>
      </c>
    </row>
    <row r="184" spans="1:17" x14ac:dyDescent="0.2">
      <c r="A184" s="34"/>
      <c r="B184" s="34"/>
      <c r="C184" s="26" t="s">
        <v>172</v>
      </c>
      <c r="D184" s="35"/>
      <c r="E184" s="35"/>
      <c r="F184" s="32">
        <v>106696.016437018</v>
      </c>
      <c r="G184" s="39">
        <v>1.00000004</v>
      </c>
      <c r="H184" s="24" t="s">
        <v>146</v>
      </c>
    </row>
    <row r="185" spans="1:17" x14ac:dyDescent="0.2">
      <c r="A185" s="40"/>
      <c r="B185" s="40"/>
      <c r="C185" s="40"/>
      <c r="D185" s="41"/>
      <c r="E185" s="41"/>
      <c r="F185" s="41"/>
      <c r="G185" s="41"/>
    </row>
    <row r="186" spans="1:17" x14ac:dyDescent="0.2">
      <c r="A186" s="42"/>
      <c r="B186" s="236" t="s">
        <v>858</v>
      </c>
      <c r="C186" s="236"/>
      <c r="D186" s="236"/>
      <c r="E186" s="236"/>
      <c r="F186" s="236"/>
      <c r="G186" s="236"/>
      <c r="H186" s="236"/>
      <c r="J186" s="44"/>
    </row>
    <row r="187" spans="1:17" x14ac:dyDescent="0.2">
      <c r="A187" s="42"/>
      <c r="B187" s="236" t="s">
        <v>859</v>
      </c>
      <c r="C187" s="236"/>
      <c r="D187" s="236"/>
      <c r="E187" s="236"/>
      <c r="F187" s="236"/>
      <c r="G187" s="236"/>
      <c r="H187" s="236"/>
      <c r="J187" s="44"/>
    </row>
    <row r="188" spans="1:17" x14ac:dyDescent="0.2">
      <c r="A188" s="42"/>
      <c r="B188" s="236" t="s">
        <v>860</v>
      </c>
      <c r="C188" s="236"/>
      <c r="D188" s="236"/>
      <c r="E188" s="236"/>
      <c r="F188" s="236"/>
      <c r="G188" s="236"/>
      <c r="H188" s="236"/>
      <c r="J188" s="44"/>
    </row>
    <row r="189" spans="1:17" s="46" customFormat="1" ht="65.25" customHeight="1" x14ac:dyDescent="0.25">
      <c r="A189" s="45"/>
      <c r="B189" s="237" t="s">
        <v>861</v>
      </c>
      <c r="C189" s="237"/>
      <c r="D189" s="237"/>
      <c r="E189" s="237"/>
      <c r="F189" s="237"/>
      <c r="G189" s="237"/>
      <c r="H189" s="237"/>
      <c r="I189"/>
      <c r="J189" s="44"/>
      <c r="K189"/>
      <c r="L189"/>
      <c r="M189"/>
      <c r="N189"/>
      <c r="O189"/>
      <c r="P189"/>
      <c r="Q189"/>
    </row>
    <row r="190" spans="1:17" x14ac:dyDescent="0.2">
      <c r="A190" s="42"/>
      <c r="B190" s="236" t="s">
        <v>862</v>
      </c>
      <c r="C190" s="236"/>
      <c r="D190" s="236"/>
      <c r="E190" s="236"/>
      <c r="F190" s="236"/>
      <c r="G190" s="236"/>
      <c r="H190" s="236"/>
      <c r="J190" s="44"/>
    </row>
    <row r="191" spans="1:17" x14ac:dyDescent="0.2">
      <c r="A191" s="47"/>
      <c r="B191" s="47"/>
      <c r="C191" s="47"/>
      <c r="D191" s="48"/>
      <c r="E191" s="48"/>
      <c r="F191" s="48"/>
      <c r="G191" s="48"/>
    </row>
    <row r="192" spans="1:17" x14ac:dyDescent="0.2">
      <c r="A192" s="47"/>
      <c r="B192" s="233" t="s">
        <v>173</v>
      </c>
      <c r="C192" s="234"/>
      <c r="D192" s="235"/>
      <c r="E192" s="49"/>
      <c r="F192" s="48"/>
      <c r="G192" s="48"/>
    </row>
    <row r="193" spans="1:10" ht="25.5" customHeight="1" x14ac:dyDescent="0.2">
      <c r="A193" s="47"/>
      <c r="B193" s="231" t="s">
        <v>174</v>
      </c>
      <c r="C193" s="232"/>
      <c r="D193" s="26" t="s">
        <v>175</v>
      </c>
      <c r="E193" s="49"/>
      <c r="F193" s="48"/>
      <c r="G193" s="48"/>
    </row>
    <row r="194" spans="1:10" x14ac:dyDescent="0.2">
      <c r="A194" s="47"/>
      <c r="B194" s="231" t="s">
        <v>863</v>
      </c>
      <c r="C194" s="232"/>
      <c r="D194" s="26" t="s">
        <v>175</v>
      </c>
      <c r="E194" s="49"/>
      <c r="F194" s="48"/>
      <c r="G194" s="48"/>
    </row>
    <row r="195" spans="1:10" x14ac:dyDescent="0.2">
      <c r="A195" s="47"/>
      <c r="B195" s="231" t="s">
        <v>176</v>
      </c>
      <c r="C195" s="232"/>
      <c r="D195" s="35" t="s">
        <v>146</v>
      </c>
      <c r="E195" s="49"/>
      <c r="F195" s="48"/>
      <c r="G195" s="48"/>
    </row>
    <row r="196" spans="1:10" x14ac:dyDescent="0.2">
      <c r="A196" s="53"/>
      <c r="B196" s="54" t="s">
        <v>146</v>
      </c>
      <c r="C196" s="54" t="s">
        <v>864</v>
      </c>
      <c r="D196" s="54" t="s">
        <v>177</v>
      </c>
      <c r="E196" s="53"/>
      <c r="F196" s="53"/>
      <c r="G196" s="53"/>
      <c r="H196" s="53"/>
      <c r="J196" s="44"/>
    </row>
    <row r="197" spans="1:10" x14ac:dyDescent="0.2">
      <c r="A197" s="53"/>
      <c r="B197" s="55" t="s">
        <v>178</v>
      </c>
      <c r="C197" s="56">
        <v>45657</v>
      </c>
      <c r="D197" s="56">
        <v>45688</v>
      </c>
      <c r="E197" s="53"/>
      <c r="F197" s="53"/>
      <c r="G197" s="53"/>
      <c r="J197" s="44"/>
    </row>
    <row r="198" spans="1:10" x14ac:dyDescent="0.2">
      <c r="A198" s="57"/>
      <c r="B198" s="28" t="s">
        <v>179</v>
      </c>
      <c r="C198" s="58">
        <v>77.991900000000001</v>
      </c>
      <c r="D198" s="58">
        <v>77.445599999999999</v>
      </c>
      <c r="E198" s="57"/>
      <c r="F198" s="59"/>
      <c r="G198" s="60"/>
    </row>
    <row r="199" spans="1:10" ht="25.5" x14ac:dyDescent="0.2">
      <c r="A199" s="57"/>
      <c r="B199" s="28" t="s">
        <v>1093</v>
      </c>
      <c r="C199" s="58">
        <v>16.6907</v>
      </c>
      <c r="D199" s="58">
        <v>16.573799999999999</v>
      </c>
      <c r="E199" s="57"/>
      <c r="F199" s="59"/>
      <c r="G199" s="60"/>
    </row>
    <row r="200" spans="1:10" ht="25.5" x14ac:dyDescent="0.2">
      <c r="A200" s="57"/>
      <c r="B200" s="28" t="s">
        <v>1029</v>
      </c>
      <c r="C200" s="58">
        <v>24.502500000000001</v>
      </c>
      <c r="D200" s="58">
        <v>24.3309</v>
      </c>
      <c r="E200" s="57"/>
      <c r="F200" s="59"/>
      <c r="G200" s="60"/>
    </row>
    <row r="201" spans="1:10" x14ac:dyDescent="0.2">
      <c r="A201" s="57"/>
      <c r="B201" s="28" t="s">
        <v>180</v>
      </c>
      <c r="C201" s="58">
        <v>67.735399999999998</v>
      </c>
      <c r="D201" s="58">
        <v>67.171199999999999</v>
      </c>
      <c r="E201" s="57"/>
      <c r="F201" s="59"/>
      <c r="G201" s="60"/>
    </row>
    <row r="202" spans="1:10" ht="25.5" x14ac:dyDescent="0.2">
      <c r="A202" s="57"/>
      <c r="B202" s="28" t="s">
        <v>1094</v>
      </c>
      <c r="C202" s="58">
        <v>15.6844</v>
      </c>
      <c r="D202" s="58">
        <v>15.553800000000001</v>
      </c>
      <c r="E202" s="57"/>
      <c r="F202" s="59"/>
      <c r="G202" s="60"/>
    </row>
    <row r="203" spans="1:10" ht="25.5" x14ac:dyDescent="0.2">
      <c r="A203" s="57"/>
      <c r="B203" s="28" t="s">
        <v>1030</v>
      </c>
      <c r="C203" s="58">
        <v>16.921800000000001</v>
      </c>
      <c r="D203" s="58">
        <v>16.780799999999999</v>
      </c>
      <c r="E203" s="57"/>
      <c r="F203" s="59"/>
      <c r="G203" s="60"/>
    </row>
    <row r="204" spans="1:10" x14ac:dyDescent="0.2">
      <c r="A204" s="53"/>
      <c r="B204" s="53"/>
      <c r="C204" s="53"/>
      <c r="D204" s="53"/>
      <c r="E204" s="53"/>
      <c r="F204" s="53"/>
      <c r="G204" s="53"/>
    </row>
    <row r="205" spans="1:10" x14ac:dyDescent="0.2">
      <c r="A205" s="53"/>
      <c r="B205" s="263" t="s">
        <v>865</v>
      </c>
      <c r="C205" s="264"/>
      <c r="D205" s="123" t="s">
        <v>175</v>
      </c>
      <c r="E205" s="53"/>
      <c r="F205" s="53"/>
      <c r="G205" s="53"/>
    </row>
    <row r="206" spans="1:10" x14ac:dyDescent="0.2">
      <c r="A206" s="57"/>
      <c r="B206" s="57"/>
      <c r="C206" s="57"/>
      <c r="D206" s="57"/>
      <c r="E206" s="57"/>
      <c r="F206" s="57"/>
      <c r="G206" s="57"/>
    </row>
    <row r="207" spans="1:10" x14ac:dyDescent="0.2">
      <c r="A207" s="53"/>
      <c r="B207" s="227" t="s">
        <v>181</v>
      </c>
      <c r="C207" s="228"/>
      <c r="D207" s="50" t="s">
        <v>895</v>
      </c>
      <c r="E207" s="64"/>
      <c r="F207" s="53"/>
      <c r="G207" s="53"/>
    </row>
    <row r="208" spans="1:10" x14ac:dyDescent="0.2">
      <c r="A208" s="53"/>
      <c r="B208" s="227" t="s">
        <v>182</v>
      </c>
      <c r="C208" s="228"/>
      <c r="D208" s="50" t="s">
        <v>175</v>
      </c>
      <c r="E208" s="64"/>
      <c r="F208" s="53"/>
      <c r="G208" s="53"/>
    </row>
    <row r="209" spans="1:7" ht="17.100000000000001" customHeight="1" x14ac:dyDescent="0.2">
      <c r="A209" s="53"/>
      <c r="B209" s="227" t="s">
        <v>183</v>
      </c>
      <c r="C209" s="228"/>
      <c r="D209" s="50" t="s">
        <v>175</v>
      </c>
      <c r="E209" s="64"/>
      <c r="F209" s="53"/>
      <c r="G209" s="53"/>
    </row>
    <row r="210" spans="1:7" ht="17.100000000000001" customHeight="1" x14ac:dyDescent="0.2">
      <c r="A210" s="53"/>
      <c r="B210" s="227" t="s">
        <v>184</v>
      </c>
      <c r="C210" s="228"/>
      <c r="D210" s="65">
        <v>4.9438933135303138</v>
      </c>
      <c r="E210" s="53"/>
      <c r="F210" s="43"/>
      <c r="G210" s="63"/>
    </row>
    <row r="212" spans="1:7" x14ac:dyDescent="0.2">
      <c r="B212" s="256" t="s">
        <v>915</v>
      </c>
      <c r="C212" s="257"/>
      <c r="D212" s="258"/>
    </row>
    <row r="213" spans="1:7" ht="25.5" x14ac:dyDescent="0.2">
      <c r="B213" s="259" t="s">
        <v>916</v>
      </c>
      <c r="C213" s="259"/>
      <c r="D213" s="107" t="s">
        <v>692</v>
      </c>
    </row>
    <row r="214" spans="1:7" x14ac:dyDescent="0.2">
      <c r="B214" s="259" t="s">
        <v>917</v>
      </c>
      <c r="C214" s="259"/>
      <c r="D214" s="115"/>
    </row>
    <row r="215" spans="1:7" x14ac:dyDescent="0.2">
      <c r="B215" s="260"/>
      <c r="C215" s="261"/>
      <c r="D215" s="108"/>
    </row>
    <row r="216" spans="1:7" x14ac:dyDescent="0.2">
      <c r="B216" s="259" t="s">
        <v>918</v>
      </c>
      <c r="C216" s="259"/>
      <c r="D216" s="109">
        <v>7.1276436523384907</v>
      </c>
    </row>
    <row r="217" spans="1:7" x14ac:dyDescent="0.2">
      <c r="B217" s="260"/>
      <c r="C217" s="261"/>
      <c r="D217" s="108"/>
    </row>
    <row r="218" spans="1:7" x14ac:dyDescent="0.2">
      <c r="B218" s="259" t="s">
        <v>919</v>
      </c>
      <c r="C218" s="259"/>
      <c r="D218" s="109">
        <v>3.2445079658128768</v>
      </c>
    </row>
    <row r="219" spans="1:7" x14ac:dyDescent="0.2">
      <c r="B219" s="259" t="s">
        <v>920</v>
      </c>
      <c r="C219" s="259"/>
      <c r="D219" s="109">
        <v>4.3370434963590538</v>
      </c>
    </row>
    <row r="220" spans="1:7" x14ac:dyDescent="0.2">
      <c r="B220" s="260"/>
      <c r="C220" s="261"/>
      <c r="D220" s="108"/>
    </row>
    <row r="221" spans="1:7" x14ac:dyDescent="0.2">
      <c r="B221" s="259" t="s">
        <v>921</v>
      </c>
      <c r="C221" s="259"/>
      <c r="D221" s="111" t="s">
        <v>924</v>
      </c>
    </row>
    <row r="222" spans="1:7" ht="12.75" customHeight="1" x14ac:dyDescent="0.2">
      <c r="B222" s="260" t="s">
        <v>922</v>
      </c>
      <c r="C222" s="262"/>
      <c r="D222" s="261"/>
    </row>
    <row r="224" spans="1:7" x14ac:dyDescent="0.2">
      <c r="B224" s="229" t="s">
        <v>866</v>
      </c>
      <c r="C224" s="229"/>
    </row>
    <row r="226" spans="2:10" ht="153.75" customHeight="1" x14ac:dyDescent="0.2"/>
    <row r="229" spans="2:10" x14ac:dyDescent="0.2">
      <c r="B229" s="66" t="s">
        <v>867</v>
      </c>
      <c r="C229" s="67"/>
      <c r="D229" s="66"/>
    </row>
    <row r="230" spans="2:10" x14ac:dyDescent="0.2">
      <c r="B230" s="66" t="s">
        <v>992</v>
      </c>
      <c r="D230" s="66"/>
    </row>
    <row r="231" spans="2:10" ht="165" customHeight="1" x14ac:dyDescent="0.2"/>
    <row r="233" spans="2:10" x14ac:dyDescent="0.2">
      <c r="J233" s="21"/>
    </row>
  </sheetData>
  <mergeCells count="29">
    <mergeCell ref="B219:C219"/>
    <mergeCell ref="B220:C220"/>
    <mergeCell ref="B221:C221"/>
    <mergeCell ref="B222:D222"/>
    <mergeCell ref="B224:C224"/>
    <mergeCell ref="B212:D212"/>
    <mergeCell ref="B216:C216"/>
    <mergeCell ref="B217:C217"/>
    <mergeCell ref="B218:C218"/>
    <mergeCell ref="B215:C215"/>
    <mergeCell ref="B214:C214"/>
    <mergeCell ref="B213:C213"/>
    <mergeCell ref="B208:C208"/>
    <mergeCell ref="B209:C209"/>
    <mergeCell ref="B207:C207"/>
    <mergeCell ref="B205:C205"/>
    <mergeCell ref="B210:C210"/>
    <mergeCell ref="A1:H1"/>
    <mergeCell ref="A2:H2"/>
    <mergeCell ref="A3:H3"/>
    <mergeCell ref="B194:C194"/>
    <mergeCell ref="B195:C195"/>
    <mergeCell ref="B192:D192"/>
    <mergeCell ref="B193:C193"/>
    <mergeCell ref="B186:H186"/>
    <mergeCell ref="B187:H187"/>
    <mergeCell ref="B188:H188"/>
    <mergeCell ref="B189:H189"/>
    <mergeCell ref="B190:H190"/>
  </mergeCells>
  <hyperlinks>
    <hyperlink ref="I1" location="Index!B2" display="Index" xr:uid="{D5CAE088-C128-4B61-A38A-6963FC46458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D162A-7434-455F-8700-0712362EFB2D}">
  <sheetPr>
    <outlinePr summaryBelow="0" summaryRight="0"/>
  </sheetPr>
  <dimension ref="A1:Q269"/>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1</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11</v>
      </c>
      <c r="C7" s="28" t="s">
        <v>12</v>
      </c>
      <c r="D7" s="28" t="s">
        <v>13</v>
      </c>
      <c r="E7" s="29">
        <v>205000</v>
      </c>
      <c r="F7" s="30">
        <v>7313.17</v>
      </c>
      <c r="G7" s="31">
        <v>8.051034E-2</v>
      </c>
      <c r="H7" s="24" t="s">
        <v>146</v>
      </c>
    </row>
    <row r="8" spans="1:9" x14ac:dyDescent="0.2">
      <c r="A8" s="27">
        <v>2</v>
      </c>
      <c r="B8" s="28" t="s">
        <v>14</v>
      </c>
      <c r="C8" s="28" t="s">
        <v>15</v>
      </c>
      <c r="D8" s="28" t="s">
        <v>16</v>
      </c>
      <c r="E8" s="29">
        <v>550000</v>
      </c>
      <c r="F8" s="30">
        <v>6958.05</v>
      </c>
      <c r="G8" s="31">
        <v>7.6600840000000003E-2</v>
      </c>
      <c r="H8" s="24" t="s">
        <v>146</v>
      </c>
    </row>
    <row r="9" spans="1:9" x14ac:dyDescent="0.2">
      <c r="A9" s="27">
        <v>3</v>
      </c>
      <c r="B9" s="28" t="s">
        <v>17</v>
      </c>
      <c r="C9" s="28" t="s">
        <v>18</v>
      </c>
      <c r="D9" s="28" t="s">
        <v>19</v>
      </c>
      <c r="E9" s="29">
        <v>417000</v>
      </c>
      <c r="F9" s="30">
        <v>6781.6710000000003</v>
      </c>
      <c r="G9" s="31">
        <v>7.4659089999999997E-2</v>
      </c>
      <c r="H9" s="24" t="s">
        <v>146</v>
      </c>
    </row>
    <row r="10" spans="1:9" x14ac:dyDescent="0.2">
      <c r="A10" s="27">
        <v>4</v>
      </c>
      <c r="B10" s="28" t="s">
        <v>20</v>
      </c>
      <c r="C10" s="28" t="s">
        <v>21</v>
      </c>
      <c r="D10" s="28" t="s">
        <v>22</v>
      </c>
      <c r="E10" s="29">
        <v>1340000</v>
      </c>
      <c r="F10" s="30">
        <v>4341.6000000000004</v>
      </c>
      <c r="G10" s="31">
        <v>4.7796470000000001E-2</v>
      </c>
      <c r="H10" s="24" t="s">
        <v>146</v>
      </c>
    </row>
    <row r="11" spans="1:9" ht="25.5" x14ac:dyDescent="0.2">
      <c r="A11" s="27">
        <v>5</v>
      </c>
      <c r="B11" s="28" t="s">
        <v>23</v>
      </c>
      <c r="C11" s="28" t="s">
        <v>24</v>
      </c>
      <c r="D11" s="28" t="s">
        <v>25</v>
      </c>
      <c r="E11" s="29">
        <v>32000</v>
      </c>
      <c r="F11" s="30">
        <v>3675.9839999999999</v>
      </c>
      <c r="G11" s="31">
        <v>4.0468730000000001E-2</v>
      </c>
      <c r="H11" s="24" t="s">
        <v>146</v>
      </c>
    </row>
    <row r="12" spans="1:9" x14ac:dyDescent="0.2">
      <c r="A12" s="27">
        <v>6</v>
      </c>
      <c r="B12" s="28" t="s">
        <v>26</v>
      </c>
      <c r="C12" s="28" t="s">
        <v>27</v>
      </c>
      <c r="D12" s="28" t="s">
        <v>22</v>
      </c>
      <c r="E12" s="29">
        <v>750000</v>
      </c>
      <c r="F12" s="30">
        <v>2262.375</v>
      </c>
      <c r="G12" s="31">
        <v>2.4906379999999999E-2</v>
      </c>
      <c r="H12" s="24" t="s">
        <v>146</v>
      </c>
    </row>
    <row r="13" spans="1:9" x14ac:dyDescent="0.2">
      <c r="A13" s="27">
        <v>7</v>
      </c>
      <c r="B13" s="28" t="s">
        <v>28</v>
      </c>
      <c r="C13" s="28" t="s">
        <v>29</v>
      </c>
      <c r="D13" s="28" t="s">
        <v>30</v>
      </c>
      <c r="E13" s="29">
        <v>650000</v>
      </c>
      <c r="F13" s="30">
        <v>1902.2249999999999</v>
      </c>
      <c r="G13" s="31">
        <v>2.0941499999999998E-2</v>
      </c>
      <c r="H13" s="24" t="s">
        <v>146</v>
      </c>
    </row>
    <row r="14" spans="1:9" x14ac:dyDescent="0.2">
      <c r="A14" s="27">
        <v>8</v>
      </c>
      <c r="B14" s="28" t="s">
        <v>31</v>
      </c>
      <c r="C14" s="28" t="s">
        <v>32</v>
      </c>
      <c r="D14" s="28" t="s">
        <v>33</v>
      </c>
      <c r="E14" s="29">
        <v>145000</v>
      </c>
      <c r="F14" s="30">
        <v>1816.56</v>
      </c>
      <c r="G14" s="31">
        <v>1.9998419999999999E-2</v>
      </c>
      <c r="H14" s="24" t="s">
        <v>146</v>
      </c>
    </row>
    <row r="15" spans="1:9" x14ac:dyDescent="0.2">
      <c r="A15" s="27">
        <v>9</v>
      </c>
      <c r="B15" s="28" t="s">
        <v>34</v>
      </c>
      <c r="C15" s="28" t="s">
        <v>35</v>
      </c>
      <c r="D15" s="28" t="s">
        <v>36</v>
      </c>
      <c r="E15" s="29">
        <v>94000</v>
      </c>
      <c r="F15" s="30">
        <v>1680.25</v>
      </c>
      <c r="G15" s="31">
        <v>1.849779E-2</v>
      </c>
      <c r="H15" s="24" t="s">
        <v>146</v>
      </c>
    </row>
    <row r="16" spans="1:9" x14ac:dyDescent="0.2">
      <c r="A16" s="27">
        <v>10</v>
      </c>
      <c r="B16" s="28" t="s">
        <v>37</v>
      </c>
      <c r="C16" s="28" t="s">
        <v>38</v>
      </c>
      <c r="D16" s="28" t="s">
        <v>39</v>
      </c>
      <c r="E16" s="29">
        <v>25000</v>
      </c>
      <c r="F16" s="30">
        <v>1625.45</v>
      </c>
      <c r="G16" s="31">
        <v>1.7894500000000001E-2</v>
      </c>
      <c r="H16" s="24" t="s">
        <v>146</v>
      </c>
    </row>
    <row r="17" spans="1:8" x14ac:dyDescent="0.2">
      <c r="A17" s="27">
        <v>11</v>
      </c>
      <c r="B17" s="28" t="s">
        <v>40</v>
      </c>
      <c r="C17" s="28" t="s">
        <v>41</v>
      </c>
      <c r="D17" s="28" t="s">
        <v>42</v>
      </c>
      <c r="E17" s="29">
        <v>31400</v>
      </c>
      <c r="F17" s="30">
        <v>1573.6110000000001</v>
      </c>
      <c r="G17" s="31">
        <v>1.7323809999999999E-2</v>
      </c>
      <c r="H17" s="24" t="s">
        <v>146</v>
      </c>
    </row>
    <row r="18" spans="1:8" x14ac:dyDescent="0.2">
      <c r="A18" s="27">
        <v>12</v>
      </c>
      <c r="B18" s="28" t="s">
        <v>43</v>
      </c>
      <c r="C18" s="28" t="s">
        <v>44</v>
      </c>
      <c r="D18" s="28" t="s">
        <v>16</v>
      </c>
      <c r="E18" s="29">
        <v>575000</v>
      </c>
      <c r="F18" s="30">
        <v>1501.325</v>
      </c>
      <c r="G18" s="31">
        <v>1.6528020000000001E-2</v>
      </c>
      <c r="H18" s="24" t="s">
        <v>146</v>
      </c>
    </row>
    <row r="19" spans="1:8" x14ac:dyDescent="0.2">
      <c r="A19" s="27">
        <v>13</v>
      </c>
      <c r="B19" s="28" t="s">
        <v>45</v>
      </c>
      <c r="C19" s="28" t="s">
        <v>46</v>
      </c>
      <c r="D19" s="28" t="s">
        <v>47</v>
      </c>
      <c r="E19" s="29">
        <v>127695</v>
      </c>
      <c r="F19" s="30">
        <v>1495.3722975000001</v>
      </c>
      <c r="G19" s="31">
        <v>1.6462480000000002E-2</v>
      </c>
      <c r="H19" s="24" t="s">
        <v>146</v>
      </c>
    </row>
    <row r="20" spans="1:8" x14ac:dyDescent="0.2">
      <c r="A20" s="27">
        <v>14</v>
      </c>
      <c r="B20" s="28" t="s">
        <v>48</v>
      </c>
      <c r="C20" s="28" t="s">
        <v>49</v>
      </c>
      <c r="D20" s="28" t="s">
        <v>33</v>
      </c>
      <c r="E20" s="29">
        <v>190000</v>
      </c>
      <c r="F20" s="30">
        <v>1468.51</v>
      </c>
      <c r="G20" s="31">
        <v>1.6166759999999999E-2</v>
      </c>
      <c r="H20" s="24" t="s">
        <v>146</v>
      </c>
    </row>
    <row r="21" spans="1:8" ht="25.5" x14ac:dyDescent="0.2">
      <c r="A21" s="27">
        <v>15</v>
      </c>
      <c r="B21" s="28" t="s">
        <v>50</v>
      </c>
      <c r="C21" s="28" t="s">
        <v>51</v>
      </c>
      <c r="D21" s="28" t="s">
        <v>25</v>
      </c>
      <c r="E21" s="29">
        <v>30000</v>
      </c>
      <c r="F21" s="30">
        <v>1450.4549999999999</v>
      </c>
      <c r="G21" s="31">
        <v>1.5967990000000001E-2</v>
      </c>
      <c r="H21" s="24" t="s">
        <v>146</v>
      </c>
    </row>
    <row r="22" spans="1:8" x14ac:dyDescent="0.2">
      <c r="A22" s="27">
        <v>16</v>
      </c>
      <c r="B22" s="28" t="s">
        <v>52</v>
      </c>
      <c r="C22" s="28" t="s">
        <v>53</v>
      </c>
      <c r="D22" s="28" t="s">
        <v>42</v>
      </c>
      <c r="E22" s="29">
        <v>36000</v>
      </c>
      <c r="F22" s="30">
        <v>1448.4960000000001</v>
      </c>
      <c r="G22" s="31">
        <v>1.5946419999999999E-2</v>
      </c>
      <c r="H22" s="24" t="s">
        <v>146</v>
      </c>
    </row>
    <row r="23" spans="1:8" x14ac:dyDescent="0.2">
      <c r="A23" s="27">
        <v>17</v>
      </c>
      <c r="B23" s="28" t="s">
        <v>54</v>
      </c>
      <c r="C23" s="28" t="s">
        <v>55</v>
      </c>
      <c r="D23" s="28" t="s">
        <v>56</v>
      </c>
      <c r="E23" s="29">
        <v>550000</v>
      </c>
      <c r="F23" s="30">
        <v>1444.355</v>
      </c>
      <c r="G23" s="31">
        <v>1.5900839999999999E-2</v>
      </c>
      <c r="H23" s="24" t="s">
        <v>146</v>
      </c>
    </row>
    <row r="24" spans="1:8" x14ac:dyDescent="0.2">
      <c r="A24" s="27">
        <v>18</v>
      </c>
      <c r="B24" s="28" t="s">
        <v>57</v>
      </c>
      <c r="C24" s="28" t="s">
        <v>58</v>
      </c>
      <c r="D24" s="28" t="s">
        <v>13</v>
      </c>
      <c r="E24" s="29">
        <v>112000</v>
      </c>
      <c r="F24" s="30">
        <v>1435.7280000000001</v>
      </c>
      <c r="G24" s="31">
        <v>1.5805860000000001E-2</v>
      </c>
      <c r="H24" s="24" t="s">
        <v>146</v>
      </c>
    </row>
    <row r="25" spans="1:8" x14ac:dyDescent="0.2">
      <c r="A25" s="27">
        <v>19</v>
      </c>
      <c r="B25" s="28" t="s">
        <v>59</v>
      </c>
      <c r="C25" s="28" t="s">
        <v>60</v>
      </c>
      <c r="D25" s="28" t="s">
        <v>13</v>
      </c>
      <c r="E25" s="29">
        <v>130000</v>
      </c>
      <c r="F25" s="30">
        <v>1376.2449999999999</v>
      </c>
      <c r="G25" s="31">
        <v>1.5151019999999999E-2</v>
      </c>
      <c r="H25" s="24" t="s">
        <v>146</v>
      </c>
    </row>
    <row r="26" spans="1:8" x14ac:dyDescent="0.2">
      <c r="A26" s="27">
        <v>20</v>
      </c>
      <c r="B26" s="28" t="s">
        <v>61</v>
      </c>
      <c r="C26" s="28" t="s">
        <v>62</v>
      </c>
      <c r="D26" s="28" t="s">
        <v>36</v>
      </c>
      <c r="E26" s="29">
        <v>370000</v>
      </c>
      <c r="F26" s="30">
        <v>1360.675</v>
      </c>
      <c r="G26" s="31">
        <v>1.4979610000000001E-2</v>
      </c>
      <c r="H26" s="24" t="s">
        <v>146</v>
      </c>
    </row>
    <row r="27" spans="1:8" x14ac:dyDescent="0.2">
      <c r="A27" s="27">
        <v>21</v>
      </c>
      <c r="B27" s="28" t="s">
        <v>63</v>
      </c>
      <c r="C27" s="28" t="s">
        <v>64</v>
      </c>
      <c r="D27" s="28" t="s">
        <v>19</v>
      </c>
      <c r="E27" s="29">
        <v>100000</v>
      </c>
      <c r="F27" s="30">
        <v>1354.9</v>
      </c>
      <c r="G27" s="31">
        <v>1.491603E-2</v>
      </c>
      <c r="H27" s="24" t="s">
        <v>146</v>
      </c>
    </row>
    <row r="28" spans="1:8" x14ac:dyDescent="0.2">
      <c r="A28" s="27">
        <v>22</v>
      </c>
      <c r="B28" s="28" t="s">
        <v>65</v>
      </c>
      <c r="C28" s="28" t="s">
        <v>66</v>
      </c>
      <c r="D28" s="28" t="s">
        <v>13</v>
      </c>
      <c r="E28" s="29">
        <v>530000</v>
      </c>
      <c r="F28" s="30">
        <v>1337.19</v>
      </c>
      <c r="G28" s="31">
        <v>1.4721059999999999E-2</v>
      </c>
      <c r="H28" s="24" t="s">
        <v>146</v>
      </c>
    </row>
    <row r="29" spans="1:8" x14ac:dyDescent="0.2">
      <c r="A29" s="27">
        <v>23</v>
      </c>
      <c r="B29" s="28" t="s">
        <v>67</v>
      </c>
      <c r="C29" s="28" t="s">
        <v>68</v>
      </c>
      <c r="D29" s="28" t="s">
        <v>42</v>
      </c>
      <c r="E29" s="29">
        <v>190000</v>
      </c>
      <c r="F29" s="30">
        <v>1334.845</v>
      </c>
      <c r="G29" s="31">
        <v>1.469525E-2</v>
      </c>
      <c r="H29" s="24" t="s">
        <v>146</v>
      </c>
    </row>
    <row r="30" spans="1:8" x14ac:dyDescent="0.2">
      <c r="A30" s="27">
        <v>24</v>
      </c>
      <c r="B30" s="28" t="s">
        <v>69</v>
      </c>
      <c r="C30" s="28" t="s">
        <v>70</v>
      </c>
      <c r="D30" s="28" t="s">
        <v>22</v>
      </c>
      <c r="E30" s="29">
        <v>350000</v>
      </c>
      <c r="F30" s="30">
        <v>1275.75</v>
      </c>
      <c r="G30" s="31">
        <v>1.404467E-2</v>
      </c>
      <c r="H30" s="24" t="s">
        <v>146</v>
      </c>
    </row>
    <row r="31" spans="1:8" x14ac:dyDescent="0.2">
      <c r="A31" s="27">
        <v>25</v>
      </c>
      <c r="B31" s="28" t="s">
        <v>71</v>
      </c>
      <c r="C31" s="28" t="s">
        <v>72</v>
      </c>
      <c r="D31" s="28" t="s">
        <v>36</v>
      </c>
      <c r="E31" s="29">
        <v>21000</v>
      </c>
      <c r="F31" s="30">
        <v>1275.4034999999999</v>
      </c>
      <c r="G31" s="31">
        <v>1.404086E-2</v>
      </c>
      <c r="H31" s="24" t="s">
        <v>146</v>
      </c>
    </row>
    <row r="32" spans="1:8" ht="25.5" x14ac:dyDescent="0.2">
      <c r="A32" s="27">
        <v>26</v>
      </c>
      <c r="B32" s="28" t="s">
        <v>73</v>
      </c>
      <c r="C32" s="28" t="s">
        <v>74</v>
      </c>
      <c r="D32" s="28" t="s">
        <v>75</v>
      </c>
      <c r="E32" s="29">
        <v>105000</v>
      </c>
      <c r="F32" s="30">
        <v>1154.3175000000001</v>
      </c>
      <c r="G32" s="31">
        <v>1.270783E-2</v>
      </c>
      <c r="H32" s="24" t="s">
        <v>146</v>
      </c>
    </row>
    <row r="33" spans="1:8" x14ac:dyDescent="0.2">
      <c r="A33" s="27">
        <v>27</v>
      </c>
      <c r="B33" s="28" t="s">
        <v>76</v>
      </c>
      <c r="C33" s="28" t="s">
        <v>77</v>
      </c>
      <c r="D33" s="28" t="s">
        <v>19</v>
      </c>
      <c r="E33" s="29">
        <v>325000</v>
      </c>
      <c r="F33" s="30">
        <v>1128.4000000000001</v>
      </c>
      <c r="G33" s="31">
        <v>1.24225E-2</v>
      </c>
      <c r="H33" s="24" t="s">
        <v>146</v>
      </c>
    </row>
    <row r="34" spans="1:8" x14ac:dyDescent="0.2">
      <c r="A34" s="27">
        <v>28</v>
      </c>
      <c r="B34" s="28" t="s">
        <v>78</v>
      </c>
      <c r="C34" s="28" t="s">
        <v>79</v>
      </c>
      <c r="D34" s="28" t="s">
        <v>80</v>
      </c>
      <c r="E34" s="29">
        <v>25000</v>
      </c>
      <c r="F34" s="30">
        <v>1081.0875000000001</v>
      </c>
      <c r="G34" s="31">
        <v>1.190164E-2</v>
      </c>
      <c r="H34" s="24" t="s">
        <v>146</v>
      </c>
    </row>
    <row r="35" spans="1:8" x14ac:dyDescent="0.2">
      <c r="A35" s="27">
        <v>29</v>
      </c>
      <c r="B35" s="28" t="s">
        <v>81</v>
      </c>
      <c r="C35" s="28" t="s">
        <v>82</v>
      </c>
      <c r="D35" s="28" t="s">
        <v>83</v>
      </c>
      <c r="E35" s="29">
        <v>104000</v>
      </c>
      <c r="F35" s="30">
        <v>1027.364</v>
      </c>
      <c r="G35" s="31">
        <v>1.1310199999999999E-2</v>
      </c>
      <c r="H35" s="24" t="s">
        <v>146</v>
      </c>
    </row>
    <row r="36" spans="1:8" x14ac:dyDescent="0.2">
      <c r="A36" s="27">
        <v>30</v>
      </c>
      <c r="B36" s="28" t="s">
        <v>84</v>
      </c>
      <c r="C36" s="28" t="s">
        <v>85</v>
      </c>
      <c r="D36" s="28" t="s">
        <v>42</v>
      </c>
      <c r="E36" s="29">
        <v>113419</v>
      </c>
      <c r="F36" s="30">
        <v>1024.6839554999999</v>
      </c>
      <c r="G36" s="31">
        <v>1.1280699999999999E-2</v>
      </c>
      <c r="H36" s="24" t="s">
        <v>146</v>
      </c>
    </row>
    <row r="37" spans="1:8" x14ac:dyDescent="0.2">
      <c r="A37" s="27">
        <v>31</v>
      </c>
      <c r="B37" s="28" t="s">
        <v>86</v>
      </c>
      <c r="C37" s="28" t="s">
        <v>87</v>
      </c>
      <c r="D37" s="28" t="s">
        <v>47</v>
      </c>
      <c r="E37" s="29">
        <v>75000</v>
      </c>
      <c r="F37" s="30">
        <v>994.35</v>
      </c>
      <c r="G37" s="31">
        <v>1.094675E-2</v>
      </c>
      <c r="H37" s="24" t="s">
        <v>146</v>
      </c>
    </row>
    <row r="38" spans="1:8" x14ac:dyDescent="0.2">
      <c r="A38" s="27">
        <v>32</v>
      </c>
      <c r="B38" s="28" t="s">
        <v>88</v>
      </c>
      <c r="C38" s="28" t="s">
        <v>89</v>
      </c>
      <c r="D38" s="28" t="s">
        <v>42</v>
      </c>
      <c r="E38" s="29">
        <v>87000</v>
      </c>
      <c r="F38" s="30">
        <v>985.971</v>
      </c>
      <c r="G38" s="31">
        <v>1.085451E-2</v>
      </c>
      <c r="H38" s="24" t="s">
        <v>146</v>
      </c>
    </row>
    <row r="39" spans="1:8" x14ac:dyDescent="0.2">
      <c r="A39" s="27">
        <v>33</v>
      </c>
      <c r="B39" s="28" t="s">
        <v>90</v>
      </c>
      <c r="C39" s="28" t="s">
        <v>91</v>
      </c>
      <c r="D39" s="28" t="s">
        <v>36</v>
      </c>
      <c r="E39" s="29">
        <v>145000</v>
      </c>
      <c r="F39" s="30">
        <v>972.00750000000005</v>
      </c>
      <c r="G39" s="31">
        <v>1.070078E-2</v>
      </c>
      <c r="H39" s="24" t="s">
        <v>146</v>
      </c>
    </row>
    <row r="40" spans="1:8" x14ac:dyDescent="0.2">
      <c r="A40" s="27">
        <v>34</v>
      </c>
      <c r="B40" s="28" t="s">
        <v>92</v>
      </c>
      <c r="C40" s="28" t="s">
        <v>93</v>
      </c>
      <c r="D40" s="28" t="s">
        <v>83</v>
      </c>
      <c r="E40" s="29">
        <v>23000</v>
      </c>
      <c r="F40" s="30">
        <v>960.75599999999997</v>
      </c>
      <c r="G40" s="31">
        <v>1.057692E-2</v>
      </c>
      <c r="H40" s="24" t="s">
        <v>146</v>
      </c>
    </row>
    <row r="41" spans="1:8" ht="25.5" x14ac:dyDescent="0.2">
      <c r="A41" s="27">
        <v>35</v>
      </c>
      <c r="B41" s="28" t="s">
        <v>94</v>
      </c>
      <c r="C41" s="28" t="s">
        <v>95</v>
      </c>
      <c r="D41" s="28" t="s">
        <v>96</v>
      </c>
      <c r="E41" s="29">
        <v>180000</v>
      </c>
      <c r="F41" s="30">
        <v>958.32</v>
      </c>
      <c r="G41" s="31">
        <v>1.05501E-2</v>
      </c>
      <c r="H41" s="24" t="s">
        <v>146</v>
      </c>
    </row>
    <row r="42" spans="1:8" x14ac:dyDescent="0.2">
      <c r="A42" s="27">
        <v>36</v>
      </c>
      <c r="B42" s="28" t="s">
        <v>97</v>
      </c>
      <c r="C42" s="28" t="s">
        <v>98</v>
      </c>
      <c r="D42" s="28" t="s">
        <v>99</v>
      </c>
      <c r="E42" s="29">
        <v>525000</v>
      </c>
      <c r="F42" s="30">
        <v>929.88</v>
      </c>
      <c r="G42" s="31">
        <v>1.0237E-2</v>
      </c>
      <c r="H42" s="24" t="s">
        <v>146</v>
      </c>
    </row>
    <row r="43" spans="1:8" x14ac:dyDescent="0.2">
      <c r="A43" s="27">
        <v>37</v>
      </c>
      <c r="B43" s="28" t="s">
        <v>100</v>
      </c>
      <c r="C43" s="28" t="s">
        <v>101</v>
      </c>
      <c r="D43" s="28" t="s">
        <v>36</v>
      </c>
      <c r="E43" s="29">
        <v>24000</v>
      </c>
      <c r="F43" s="30">
        <v>927.26400000000001</v>
      </c>
      <c r="G43" s="31">
        <v>1.0208210000000001E-2</v>
      </c>
      <c r="H43" s="24" t="s">
        <v>146</v>
      </c>
    </row>
    <row r="44" spans="1:8" x14ac:dyDescent="0.2">
      <c r="A44" s="27">
        <v>38</v>
      </c>
      <c r="B44" s="28" t="s">
        <v>102</v>
      </c>
      <c r="C44" s="28" t="s">
        <v>103</v>
      </c>
      <c r="D44" s="28" t="s">
        <v>42</v>
      </c>
      <c r="E44" s="29">
        <v>47000</v>
      </c>
      <c r="F44" s="30">
        <v>905.90150000000006</v>
      </c>
      <c r="G44" s="31">
        <v>9.9730300000000008E-3</v>
      </c>
      <c r="H44" s="24" t="s">
        <v>146</v>
      </c>
    </row>
    <row r="45" spans="1:8" ht="25.5" x14ac:dyDescent="0.2">
      <c r="A45" s="27">
        <v>39</v>
      </c>
      <c r="B45" s="28" t="s">
        <v>104</v>
      </c>
      <c r="C45" s="28" t="s">
        <v>105</v>
      </c>
      <c r="D45" s="28" t="s">
        <v>25</v>
      </c>
      <c r="E45" s="29">
        <v>175000</v>
      </c>
      <c r="F45" s="30">
        <v>897.4</v>
      </c>
      <c r="G45" s="31">
        <v>9.8794299999999998E-3</v>
      </c>
      <c r="H45" s="24" t="s">
        <v>146</v>
      </c>
    </row>
    <row r="46" spans="1:8" x14ac:dyDescent="0.2">
      <c r="A46" s="27">
        <v>40</v>
      </c>
      <c r="B46" s="28" t="s">
        <v>106</v>
      </c>
      <c r="C46" s="28" t="s">
        <v>107</v>
      </c>
      <c r="D46" s="28" t="s">
        <v>36</v>
      </c>
      <c r="E46" s="29">
        <v>15000</v>
      </c>
      <c r="F46" s="30">
        <v>881.19749999999999</v>
      </c>
      <c r="G46" s="31">
        <v>9.7010599999999992E-3</v>
      </c>
      <c r="H46" s="24" t="s">
        <v>146</v>
      </c>
    </row>
    <row r="47" spans="1:8" x14ac:dyDescent="0.2">
      <c r="A47" s="27">
        <v>41</v>
      </c>
      <c r="B47" s="28" t="s">
        <v>108</v>
      </c>
      <c r="C47" s="28" t="s">
        <v>109</v>
      </c>
      <c r="D47" s="28" t="s">
        <v>42</v>
      </c>
      <c r="E47" s="29">
        <v>58000</v>
      </c>
      <c r="F47" s="30">
        <v>875.53899999999999</v>
      </c>
      <c r="G47" s="31">
        <v>9.6387699999999996E-3</v>
      </c>
      <c r="H47" s="24" t="s">
        <v>146</v>
      </c>
    </row>
    <row r="48" spans="1:8" x14ac:dyDescent="0.2">
      <c r="A48" s="27">
        <v>42</v>
      </c>
      <c r="B48" s="28" t="s">
        <v>110</v>
      </c>
      <c r="C48" s="28" t="s">
        <v>111</v>
      </c>
      <c r="D48" s="28" t="s">
        <v>42</v>
      </c>
      <c r="E48" s="29">
        <v>30000</v>
      </c>
      <c r="F48" s="30">
        <v>874.21500000000003</v>
      </c>
      <c r="G48" s="31">
        <v>9.6241899999999995E-3</v>
      </c>
      <c r="H48" s="24" t="s">
        <v>146</v>
      </c>
    </row>
    <row r="49" spans="1:8" x14ac:dyDescent="0.2">
      <c r="A49" s="27">
        <v>43</v>
      </c>
      <c r="B49" s="28" t="s">
        <v>112</v>
      </c>
      <c r="C49" s="28" t="s">
        <v>113</v>
      </c>
      <c r="D49" s="28" t="s">
        <v>36</v>
      </c>
      <c r="E49" s="29">
        <v>1500000</v>
      </c>
      <c r="F49" s="30">
        <v>872.55</v>
      </c>
      <c r="G49" s="31">
        <v>9.6058600000000008E-3</v>
      </c>
      <c r="H49" s="24" t="s">
        <v>146</v>
      </c>
    </row>
    <row r="50" spans="1:8" x14ac:dyDescent="0.2">
      <c r="A50" s="27">
        <v>44</v>
      </c>
      <c r="B50" s="28" t="s">
        <v>114</v>
      </c>
      <c r="C50" s="28" t="s">
        <v>115</v>
      </c>
      <c r="D50" s="28" t="s">
        <v>83</v>
      </c>
      <c r="E50" s="29">
        <v>25000</v>
      </c>
      <c r="F50" s="30">
        <v>856.45</v>
      </c>
      <c r="G50" s="31">
        <v>9.4286200000000004E-3</v>
      </c>
      <c r="H50" s="24" t="s">
        <v>146</v>
      </c>
    </row>
    <row r="51" spans="1:8" ht="25.5" x14ac:dyDescent="0.2">
      <c r="A51" s="27">
        <v>45</v>
      </c>
      <c r="B51" s="28" t="s">
        <v>116</v>
      </c>
      <c r="C51" s="28" t="s">
        <v>117</v>
      </c>
      <c r="D51" s="28" t="s">
        <v>96</v>
      </c>
      <c r="E51" s="29">
        <v>2100</v>
      </c>
      <c r="F51" s="30">
        <v>849.91724999999997</v>
      </c>
      <c r="G51" s="31">
        <v>9.3567000000000008E-3</v>
      </c>
      <c r="H51" s="24" t="s">
        <v>146</v>
      </c>
    </row>
    <row r="52" spans="1:8" x14ac:dyDescent="0.2">
      <c r="A52" s="27">
        <v>46</v>
      </c>
      <c r="B52" s="28" t="s">
        <v>118</v>
      </c>
      <c r="C52" s="28" t="s">
        <v>119</v>
      </c>
      <c r="D52" s="28" t="s">
        <v>120</v>
      </c>
      <c r="E52" s="29">
        <v>184999</v>
      </c>
      <c r="F52" s="30">
        <v>832.21800150000001</v>
      </c>
      <c r="G52" s="31">
        <v>9.1618499999999992E-3</v>
      </c>
      <c r="H52" s="24" t="s">
        <v>146</v>
      </c>
    </row>
    <row r="53" spans="1:8" ht="25.5" x14ac:dyDescent="0.2">
      <c r="A53" s="27">
        <v>47</v>
      </c>
      <c r="B53" s="28" t="s">
        <v>121</v>
      </c>
      <c r="C53" s="28" t="s">
        <v>122</v>
      </c>
      <c r="D53" s="28" t="s">
        <v>96</v>
      </c>
      <c r="E53" s="29">
        <v>125000</v>
      </c>
      <c r="F53" s="30">
        <v>789.5</v>
      </c>
      <c r="G53" s="31">
        <v>8.6915699999999992E-3</v>
      </c>
      <c r="H53" s="24" t="s">
        <v>146</v>
      </c>
    </row>
    <row r="54" spans="1:8" x14ac:dyDescent="0.2">
      <c r="A54" s="27">
        <v>48</v>
      </c>
      <c r="B54" s="28" t="s">
        <v>123</v>
      </c>
      <c r="C54" s="28" t="s">
        <v>124</v>
      </c>
      <c r="D54" s="28" t="s">
        <v>36</v>
      </c>
      <c r="E54" s="29">
        <v>6000</v>
      </c>
      <c r="F54" s="30">
        <v>771.81299999999999</v>
      </c>
      <c r="G54" s="31">
        <v>8.4968500000000002E-3</v>
      </c>
      <c r="H54" s="24" t="s">
        <v>146</v>
      </c>
    </row>
    <row r="55" spans="1:8" x14ac:dyDescent="0.2">
      <c r="A55" s="27">
        <v>49</v>
      </c>
      <c r="B55" s="28" t="s">
        <v>125</v>
      </c>
      <c r="C55" s="28" t="s">
        <v>126</v>
      </c>
      <c r="D55" s="28" t="s">
        <v>80</v>
      </c>
      <c r="E55" s="29">
        <v>235000</v>
      </c>
      <c r="F55" s="30">
        <v>754.46749999999997</v>
      </c>
      <c r="G55" s="31">
        <v>8.3058999999999997E-3</v>
      </c>
      <c r="H55" s="24" t="s">
        <v>146</v>
      </c>
    </row>
    <row r="56" spans="1:8" x14ac:dyDescent="0.2">
      <c r="A56" s="27">
        <v>50</v>
      </c>
      <c r="B56" s="28" t="s">
        <v>127</v>
      </c>
      <c r="C56" s="28" t="s">
        <v>128</v>
      </c>
      <c r="D56" s="28" t="s">
        <v>22</v>
      </c>
      <c r="E56" s="29">
        <v>50000</v>
      </c>
      <c r="F56" s="30">
        <v>731.72500000000002</v>
      </c>
      <c r="G56" s="31">
        <v>8.05553E-3</v>
      </c>
      <c r="H56" s="24" t="s">
        <v>146</v>
      </c>
    </row>
    <row r="57" spans="1:8" x14ac:dyDescent="0.2">
      <c r="A57" s="27">
        <v>51</v>
      </c>
      <c r="B57" s="28" t="s">
        <v>129</v>
      </c>
      <c r="C57" s="28" t="s">
        <v>130</v>
      </c>
      <c r="D57" s="28" t="s">
        <v>80</v>
      </c>
      <c r="E57" s="29">
        <v>90000</v>
      </c>
      <c r="F57" s="30">
        <v>702.09</v>
      </c>
      <c r="G57" s="31">
        <v>7.7292799999999998E-3</v>
      </c>
      <c r="H57" s="24" t="s">
        <v>146</v>
      </c>
    </row>
    <row r="58" spans="1:8" x14ac:dyDescent="0.2">
      <c r="A58" s="27">
        <v>52</v>
      </c>
      <c r="B58" s="28" t="s">
        <v>131</v>
      </c>
      <c r="C58" s="28" t="s">
        <v>132</v>
      </c>
      <c r="D58" s="28" t="s">
        <v>36</v>
      </c>
      <c r="E58" s="29">
        <v>300000</v>
      </c>
      <c r="F58" s="30">
        <v>624.27</v>
      </c>
      <c r="G58" s="31">
        <v>6.8725599999999998E-3</v>
      </c>
      <c r="H58" s="24" t="s">
        <v>146</v>
      </c>
    </row>
    <row r="59" spans="1:8" x14ac:dyDescent="0.2">
      <c r="A59" s="27">
        <v>53</v>
      </c>
      <c r="B59" s="28" t="s">
        <v>133</v>
      </c>
      <c r="C59" s="28" t="s">
        <v>134</v>
      </c>
      <c r="D59" s="28" t="s">
        <v>39</v>
      </c>
      <c r="E59" s="29">
        <v>143468</v>
      </c>
      <c r="F59" s="30">
        <v>499.98597999999998</v>
      </c>
      <c r="G59" s="31">
        <v>5.50432E-3</v>
      </c>
      <c r="H59" s="24" t="s">
        <v>146</v>
      </c>
    </row>
    <row r="60" spans="1:8" x14ac:dyDescent="0.2">
      <c r="A60" s="27">
        <v>54</v>
      </c>
      <c r="B60" s="28" t="s">
        <v>135</v>
      </c>
      <c r="C60" s="28" t="s">
        <v>136</v>
      </c>
      <c r="D60" s="28" t="s">
        <v>13</v>
      </c>
      <c r="E60" s="29">
        <v>140000</v>
      </c>
      <c r="F60" s="30">
        <v>463.26</v>
      </c>
      <c r="G60" s="31">
        <v>5.1000100000000003E-3</v>
      </c>
      <c r="H60" s="24" t="s">
        <v>146</v>
      </c>
    </row>
    <row r="61" spans="1:8" x14ac:dyDescent="0.2">
      <c r="A61" s="27">
        <v>55</v>
      </c>
      <c r="B61" s="28" t="s">
        <v>137</v>
      </c>
      <c r="C61" s="28" t="s">
        <v>138</v>
      </c>
      <c r="D61" s="28" t="s">
        <v>139</v>
      </c>
      <c r="E61" s="29">
        <v>50000</v>
      </c>
      <c r="F61" s="30">
        <v>395.77499999999998</v>
      </c>
      <c r="G61" s="31">
        <v>4.3570700000000002E-3</v>
      </c>
      <c r="H61" s="24" t="s">
        <v>146</v>
      </c>
    </row>
    <row r="62" spans="1:8" x14ac:dyDescent="0.2">
      <c r="A62" s="27">
        <v>56</v>
      </c>
      <c r="B62" s="28" t="s">
        <v>140</v>
      </c>
      <c r="C62" s="28" t="s">
        <v>141</v>
      </c>
      <c r="D62" s="28" t="s">
        <v>36</v>
      </c>
      <c r="E62" s="29">
        <v>5000</v>
      </c>
      <c r="F62" s="30">
        <v>374.59750000000003</v>
      </c>
      <c r="G62" s="31">
        <v>4.1239299999999996E-3</v>
      </c>
      <c r="H62" s="24" t="s">
        <v>146</v>
      </c>
    </row>
    <row r="63" spans="1:8" x14ac:dyDescent="0.2">
      <c r="A63" s="25"/>
      <c r="B63" s="25"/>
      <c r="C63" s="26" t="s">
        <v>145</v>
      </c>
      <c r="D63" s="25"/>
      <c r="E63" s="25" t="s">
        <v>146</v>
      </c>
      <c r="F63" s="32">
        <f>SUM(F7:F62)</f>
        <v>85587.469484500019</v>
      </c>
      <c r="G63" s="33">
        <f>SUM(G7:G62)</f>
        <v>0.94222841000000035</v>
      </c>
      <c r="H63" s="24" t="s">
        <v>146</v>
      </c>
    </row>
    <row r="64" spans="1:8" x14ac:dyDescent="0.2">
      <c r="A64" s="25"/>
      <c r="B64" s="25"/>
      <c r="C64" s="34"/>
      <c r="D64" s="25"/>
      <c r="E64" s="25"/>
      <c r="F64" s="35"/>
      <c r="G64" s="35"/>
      <c r="H64" s="24" t="s">
        <v>146</v>
      </c>
    </row>
    <row r="65" spans="1:8" x14ac:dyDescent="0.2">
      <c r="A65" s="25"/>
      <c r="B65" s="25"/>
      <c r="C65" s="26" t="s">
        <v>147</v>
      </c>
      <c r="D65" s="25"/>
      <c r="E65" s="25"/>
      <c r="F65" s="25"/>
      <c r="G65" s="25"/>
      <c r="H65" s="24" t="s">
        <v>146</v>
      </c>
    </row>
    <row r="66" spans="1:8" x14ac:dyDescent="0.2">
      <c r="A66" s="25"/>
      <c r="B66" s="25"/>
      <c r="C66" s="26" t="s">
        <v>145</v>
      </c>
      <c r="D66" s="25"/>
      <c r="E66" s="25" t="s">
        <v>146</v>
      </c>
      <c r="F66" s="36" t="s">
        <v>148</v>
      </c>
      <c r="G66" s="33">
        <v>0</v>
      </c>
      <c r="H66" s="24" t="s">
        <v>146</v>
      </c>
    </row>
    <row r="67" spans="1:8" x14ac:dyDescent="0.2">
      <c r="A67" s="25"/>
      <c r="B67" s="25"/>
      <c r="C67" s="34"/>
      <c r="D67" s="25"/>
      <c r="E67" s="25"/>
      <c r="F67" s="35"/>
      <c r="G67" s="35"/>
      <c r="H67" s="24" t="s">
        <v>146</v>
      </c>
    </row>
    <row r="68" spans="1:8" x14ac:dyDescent="0.2">
      <c r="A68" s="25"/>
      <c r="B68" s="25"/>
      <c r="C68" s="26" t="s">
        <v>149</v>
      </c>
      <c r="D68" s="25"/>
      <c r="E68" s="25"/>
      <c r="F68" s="25"/>
      <c r="G68" s="25"/>
      <c r="H68" s="24" t="s">
        <v>146</v>
      </c>
    </row>
    <row r="69" spans="1:8" x14ac:dyDescent="0.2">
      <c r="A69" s="27">
        <v>1</v>
      </c>
      <c r="B69" s="28" t="s">
        <v>142</v>
      </c>
      <c r="C69" s="37" t="s">
        <v>857</v>
      </c>
      <c r="D69" s="28" t="s">
        <v>143</v>
      </c>
      <c r="E69" s="29">
        <v>559425</v>
      </c>
      <c r="F69" s="30">
        <v>1.1189000000000001E-5</v>
      </c>
      <c r="G69" s="38" t="s">
        <v>144</v>
      </c>
      <c r="H69" s="24" t="s">
        <v>146</v>
      </c>
    </row>
    <row r="70" spans="1:8" x14ac:dyDescent="0.2">
      <c r="A70" s="25"/>
      <c r="B70" s="25"/>
      <c r="C70" s="26" t="s">
        <v>145</v>
      </c>
      <c r="D70" s="25"/>
      <c r="E70" s="25" t="s">
        <v>146</v>
      </c>
      <c r="F70" s="36" t="s">
        <v>148</v>
      </c>
      <c r="G70" s="33">
        <v>0</v>
      </c>
      <c r="H70" s="24" t="s">
        <v>146</v>
      </c>
    </row>
    <row r="71" spans="1:8" x14ac:dyDescent="0.2">
      <c r="A71" s="25"/>
      <c r="B71" s="25"/>
      <c r="C71" s="34"/>
      <c r="D71" s="25"/>
      <c r="E71" s="25"/>
      <c r="F71" s="35"/>
      <c r="G71" s="35"/>
      <c r="H71" s="24" t="s">
        <v>146</v>
      </c>
    </row>
    <row r="72" spans="1:8" x14ac:dyDescent="0.2">
      <c r="A72" s="25"/>
      <c r="B72" s="25"/>
      <c r="C72" s="26" t="s">
        <v>150</v>
      </c>
      <c r="D72" s="25"/>
      <c r="E72" s="25"/>
      <c r="F72" s="25"/>
      <c r="G72" s="25"/>
      <c r="H72" s="24" t="s">
        <v>146</v>
      </c>
    </row>
    <row r="73" spans="1:8" x14ac:dyDescent="0.2">
      <c r="A73" s="25"/>
      <c r="B73" s="25"/>
      <c r="C73" s="26" t="s">
        <v>145</v>
      </c>
      <c r="D73" s="25"/>
      <c r="E73" s="25" t="s">
        <v>146</v>
      </c>
      <c r="F73" s="36" t="s">
        <v>148</v>
      </c>
      <c r="G73" s="33">
        <v>0</v>
      </c>
      <c r="H73" s="24" t="s">
        <v>146</v>
      </c>
    </row>
    <row r="74" spans="1:8" x14ac:dyDescent="0.2">
      <c r="A74" s="25"/>
      <c r="B74" s="25"/>
      <c r="C74" s="34"/>
      <c r="D74" s="25"/>
      <c r="E74" s="25"/>
      <c r="F74" s="35"/>
      <c r="G74" s="35"/>
      <c r="H74" s="24" t="s">
        <v>146</v>
      </c>
    </row>
    <row r="75" spans="1:8" x14ac:dyDescent="0.2">
      <c r="A75" s="25"/>
      <c r="B75" s="25"/>
      <c r="C75" s="26" t="s">
        <v>151</v>
      </c>
      <c r="D75" s="25"/>
      <c r="E75" s="25"/>
      <c r="F75" s="35"/>
      <c r="G75" s="35"/>
      <c r="H75" s="24" t="s">
        <v>146</v>
      </c>
    </row>
    <row r="76" spans="1:8" x14ac:dyDescent="0.2">
      <c r="A76" s="25"/>
      <c r="B76" s="25"/>
      <c r="C76" s="26" t="s">
        <v>145</v>
      </c>
      <c r="D76" s="25"/>
      <c r="E76" s="25" t="s">
        <v>146</v>
      </c>
      <c r="F76" s="36" t="s">
        <v>148</v>
      </c>
      <c r="G76" s="33">
        <v>0</v>
      </c>
      <c r="H76" s="24" t="s">
        <v>146</v>
      </c>
    </row>
    <row r="77" spans="1:8" x14ac:dyDescent="0.2">
      <c r="A77" s="25"/>
      <c r="B77" s="25"/>
      <c r="C77" s="34"/>
      <c r="D77" s="25"/>
      <c r="E77" s="25"/>
      <c r="F77" s="35"/>
      <c r="G77" s="35"/>
      <c r="H77" s="24" t="s">
        <v>146</v>
      </c>
    </row>
    <row r="78" spans="1:8" x14ac:dyDescent="0.2">
      <c r="A78" s="25"/>
      <c r="B78" s="25"/>
      <c r="C78" s="26" t="s">
        <v>152</v>
      </c>
      <c r="D78" s="25"/>
      <c r="E78" s="25"/>
      <c r="F78" s="35"/>
      <c r="G78" s="35"/>
      <c r="H78" s="24" t="s">
        <v>146</v>
      </c>
    </row>
    <row r="79" spans="1:8" x14ac:dyDescent="0.2">
      <c r="A79" s="25"/>
      <c r="B79" s="25"/>
      <c r="C79" s="26" t="s">
        <v>145</v>
      </c>
      <c r="D79" s="25"/>
      <c r="E79" s="25" t="s">
        <v>146</v>
      </c>
      <c r="F79" s="36" t="s">
        <v>148</v>
      </c>
      <c r="G79" s="33">
        <v>0</v>
      </c>
      <c r="H79" s="24" t="s">
        <v>146</v>
      </c>
    </row>
    <row r="80" spans="1:8" x14ac:dyDescent="0.2">
      <c r="A80" s="25"/>
      <c r="B80" s="25"/>
      <c r="C80" s="34"/>
      <c r="D80" s="25"/>
      <c r="E80" s="25"/>
      <c r="F80" s="35"/>
      <c r="G80" s="35"/>
      <c r="H80" s="24" t="s">
        <v>146</v>
      </c>
    </row>
    <row r="81" spans="1:8" x14ac:dyDescent="0.2">
      <c r="A81" s="25"/>
      <c r="B81" s="25"/>
      <c r="C81" s="26" t="s">
        <v>153</v>
      </c>
      <c r="D81" s="25"/>
      <c r="E81" s="25"/>
      <c r="F81" s="32">
        <v>85587.469495689002</v>
      </c>
      <c r="G81" s="33">
        <v>0.94222841000000002</v>
      </c>
      <c r="H81" s="24" t="s">
        <v>146</v>
      </c>
    </row>
    <row r="82" spans="1:8" x14ac:dyDescent="0.2">
      <c r="A82" s="25"/>
      <c r="B82" s="25"/>
      <c r="C82" s="34"/>
      <c r="D82" s="25"/>
      <c r="E82" s="25"/>
      <c r="F82" s="35"/>
      <c r="G82" s="35"/>
      <c r="H82" s="24" t="s">
        <v>146</v>
      </c>
    </row>
    <row r="83" spans="1:8" x14ac:dyDescent="0.2">
      <c r="A83" s="25"/>
      <c r="B83" s="25"/>
      <c r="C83" s="26" t="s">
        <v>154</v>
      </c>
      <c r="D83" s="25"/>
      <c r="E83" s="25"/>
      <c r="F83" s="35"/>
      <c r="G83" s="35"/>
      <c r="H83" s="24" t="s">
        <v>146</v>
      </c>
    </row>
    <row r="84" spans="1:8" x14ac:dyDescent="0.2">
      <c r="A84" s="25"/>
      <c r="B84" s="25"/>
      <c r="C84" s="26" t="s">
        <v>10</v>
      </c>
      <c r="D84" s="25"/>
      <c r="E84" s="25"/>
      <c r="F84" s="35"/>
      <c r="G84" s="35"/>
      <c r="H84" s="24" t="s">
        <v>146</v>
      </c>
    </row>
    <row r="85" spans="1:8" x14ac:dyDescent="0.2">
      <c r="A85" s="25"/>
      <c r="B85" s="25"/>
      <c r="C85" s="26" t="s">
        <v>145</v>
      </c>
      <c r="D85" s="25"/>
      <c r="E85" s="25" t="s">
        <v>146</v>
      </c>
      <c r="F85" s="36" t="s">
        <v>148</v>
      </c>
      <c r="G85" s="33">
        <v>0</v>
      </c>
      <c r="H85" s="24" t="s">
        <v>146</v>
      </c>
    </row>
    <row r="86" spans="1:8" x14ac:dyDescent="0.2">
      <c r="A86" s="25"/>
      <c r="B86" s="25"/>
      <c r="C86" s="34"/>
      <c r="D86" s="25"/>
      <c r="E86" s="25"/>
      <c r="F86" s="35"/>
      <c r="G86" s="35"/>
      <c r="H86" s="24" t="s">
        <v>146</v>
      </c>
    </row>
    <row r="87" spans="1:8" x14ac:dyDescent="0.2">
      <c r="A87" s="25"/>
      <c r="B87" s="25"/>
      <c r="C87" s="26" t="s">
        <v>155</v>
      </c>
      <c r="D87" s="25"/>
      <c r="E87" s="25"/>
      <c r="F87" s="25"/>
      <c r="G87" s="25"/>
      <c r="H87" s="24" t="s">
        <v>146</v>
      </c>
    </row>
    <row r="88" spans="1:8" x14ac:dyDescent="0.2">
      <c r="A88" s="25"/>
      <c r="B88" s="25"/>
      <c r="C88" s="26" t="s">
        <v>145</v>
      </c>
      <c r="D88" s="25"/>
      <c r="E88" s="25" t="s">
        <v>146</v>
      </c>
      <c r="F88" s="36" t="s">
        <v>148</v>
      </c>
      <c r="G88" s="33">
        <v>0</v>
      </c>
      <c r="H88" s="24" t="s">
        <v>146</v>
      </c>
    </row>
    <row r="89" spans="1:8" x14ac:dyDescent="0.2">
      <c r="A89" s="25"/>
      <c r="B89" s="25"/>
      <c r="C89" s="34"/>
      <c r="D89" s="25"/>
      <c r="E89" s="25"/>
      <c r="F89" s="35"/>
      <c r="G89" s="35"/>
      <c r="H89" s="24" t="s">
        <v>146</v>
      </c>
    </row>
    <row r="90" spans="1:8" x14ac:dyDescent="0.2">
      <c r="A90" s="25"/>
      <c r="B90" s="25"/>
      <c r="C90" s="26" t="s">
        <v>156</v>
      </c>
      <c r="D90" s="25"/>
      <c r="E90" s="25"/>
      <c r="F90" s="25"/>
      <c r="G90" s="25"/>
      <c r="H90" s="24" t="s">
        <v>146</v>
      </c>
    </row>
    <row r="91" spans="1:8" x14ac:dyDescent="0.2">
      <c r="A91" s="25"/>
      <c r="B91" s="25"/>
      <c r="C91" s="26" t="s">
        <v>145</v>
      </c>
      <c r="D91" s="25"/>
      <c r="E91" s="25" t="s">
        <v>146</v>
      </c>
      <c r="F91" s="36" t="s">
        <v>148</v>
      </c>
      <c r="G91" s="33">
        <v>0</v>
      </c>
      <c r="H91" s="24" t="s">
        <v>146</v>
      </c>
    </row>
    <row r="92" spans="1:8" x14ac:dyDescent="0.2">
      <c r="A92" s="25"/>
      <c r="B92" s="25"/>
      <c r="C92" s="34"/>
      <c r="D92" s="25"/>
      <c r="E92" s="25"/>
      <c r="F92" s="35"/>
      <c r="G92" s="35"/>
      <c r="H92" s="24" t="s">
        <v>146</v>
      </c>
    </row>
    <row r="93" spans="1:8" x14ac:dyDescent="0.2">
      <c r="A93" s="25"/>
      <c r="B93" s="25"/>
      <c r="C93" s="26" t="s">
        <v>157</v>
      </c>
      <c r="D93" s="25"/>
      <c r="E93" s="25"/>
      <c r="F93" s="35"/>
      <c r="G93" s="35"/>
      <c r="H93" s="24" t="s">
        <v>146</v>
      </c>
    </row>
    <row r="94" spans="1:8" x14ac:dyDescent="0.2">
      <c r="A94" s="25"/>
      <c r="B94" s="25"/>
      <c r="C94" s="26" t="s">
        <v>145</v>
      </c>
      <c r="D94" s="25"/>
      <c r="E94" s="25" t="s">
        <v>146</v>
      </c>
      <c r="F94" s="36" t="s">
        <v>148</v>
      </c>
      <c r="G94" s="33">
        <v>0</v>
      </c>
      <c r="H94" s="24" t="s">
        <v>146</v>
      </c>
    </row>
    <row r="95" spans="1:8" x14ac:dyDescent="0.2">
      <c r="A95" s="25"/>
      <c r="B95" s="25"/>
      <c r="C95" s="34"/>
      <c r="D95" s="25"/>
      <c r="E95" s="25"/>
      <c r="F95" s="35"/>
      <c r="G95" s="35"/>
      <c r="H95" s="24" t="s">
        <v>146</v>
      </c>
    </row>
    <row r="96" spans="1:8" x14ac:dyDescent="0.2">
      <c r="A96" s="25"/>
      <c r="B96" s="25"/>
      <c r="C96" s="26" t="s">
        <v>158</v>
      </c>
      <c r="D96" s="25"/>
      <c r="E96" s="25"/>
      <c r="F96" s="32">
        <v>0</v>
      </c>
      <c r="G96" s="33">
        <v>0</v>
      </c>
      <c r="H96" s="24" t="s">
        <v>146</v>
      </c>
    </row>
    <row r="97" spans="1:8" x14ac:dyDescent="0.2">
      <c r="A97" s="25"/>
      <c r="B97" s="25"/>
      <c r="C97" s="34"/>
      <c r="D97" s="25"/>
      <c r="E97" s="25"/>
      <c r="F97" s="35"/>
      <c r="G97" s="35"/>
      <c r="H97" s="24" t="s">
        <v>146</v>
      </c>
    </row>
    <row r="98" spans="1:8" x14ac:dyDescent="0.2">
      <c r="A98" s="25"/>
      <c r="B98" s="25"/>
      <c r="C98" s="26" t="s">
        <v>159</v>
      </c>
      <c r="D98" s="25"/>
      <c r="E98" s="25"/>
      <c r="F98" s="35"/>
      <c r="G98" s="35"/>
      <c r="H98" s="24" t="s">
        <v>146</v>
      </c>
    </row>
    <row r="99" spans="1:8" x14ac:dyDescent="0.2">
      <c r="A99" s="25"/>
      <c r="B99" s="25"/>
      <c r="C99" s="26" t="s">
        <v>160</v>
      </c>
      <c r="D99" s="25"/>
      <c r="E99" s="25"/>
      <c r="F99" s="35"/>
      <c r="G99" s="35"/>
      <c r="H99" s="24" t="s">
        <v>146</v>
      </c>
    </row>
    <row r="100" spans="1:8" x14ac:dyDescent="0.2">
      <c r="A100" s="25"/>
      <c r="B100" s="25"/>
      <c r="C100" s="26" t="s">
        <v>145</v>
      </c>
      <c r="D100" s="25"/>
      <c r="E100" s="25" t="s">
        <v>146</v>
      </c>
      <c r="F100" s="36" t="s">
        <v>148</v>
      </c>
      <c r="G100" s="33">
        <v>0</v>
      </c>
      <c r="H100" s="24" t="s">
        <v>146</v>
      </c>
    </row>
    <row r="101" spans="1:8" x14ac:dyDescent="0.2">
      <c r="A101" s="25"/>
      <c r="B101" s="25"/>
      <c r="C101" s="34"/>
      <c r="D101" s="25"/>
      <c r="E101" s="25"/>
      <c r="F101" s="35"/>
      <c r="G101" s="35"/>
      <c r="H101" s="24" t="s">
        <v>146</v>
      </c>
    </row>
    <row r="102" spans="1:8" x14ac:dyDescent="0.2">
      <c r="A102" s="25"/>
      <c r="B102" s="25"/>
      <c r="C102" s="26" t="s">
        <v>161</v>
      </c>
      <c r="D102" s="25"/>
      <c r="E102" s="25"/>
      <c r="F102" s="35"/>
      <c r="G102" s="35"/>
      <c r="H102" s="24" t="s">
        <v>146</v>
      </c>
    </row>
    <row r="103" spans="1:8" x14ac:dyDescent="0.2">
      <c r="A103" s="25"/>
      <c r="B103" s="25"/>
      <c r="C103" s="26" t="s">
        <v>145</v>
      </c>
      <c r="D103" s="25"/>
      <c r="E103" s="25" t="s">
        <v>146</v>
      </c>
      <c r="F103" s="36" t="s">
        <v>148</v>
      </c>
      <c r="G103" s="33">
        <v>0</v>
      </c>
      <c r="H103" s="24" t="s">
        <v>146</v>
      </c>
    </row>
    <row r="104" spans="1:8" x14ac:dyDescent="0.2">
      <c r="A104" s="25"/>
      <c r="B104" s="25"/>
      <c r="C104" s="34"/>
      <c r="D104" s="25"/>
      <c r="E104" s="25"/>
      <c r="F104" s="35"/>
      <c r="G104" s="35"/>
      <c r="H104" s="24" t="s">
        <v>146</v>
      </c>
    </row>
    <row r="105" spans="1:8" x14ac:dyDescent="0.2">
      <c r="A105" s="25"/>
      <c r="B105" s="25"/>
      <c r="C105" s="26" t="s">
        <v>162</v>
      </c>
      <c r="D105" s="25"/>
      <c r="E105" s="25"/>
      <c r="F105" s="35"/>
      <c r="G105" s="35"/>
      <c r="H105" s="24" t="s">
        <v>146</v>
      </c>
    </row>
    <row r="106" spans="1:8" x14ac:dyDescent="0.2">
      <c r="A106" s="25"/>
      <c r="B106" s="25"/>
      <c r="C106" s="26" t="s">
        <v>145</v>
      </c>
      <c r="D106" s="25"/>
      <c r="E106" s="25" t="s">
        <v>146</v>
      </c>
      <c r="F106" s="36" t="s">
        <v>148</v>
      </c>
      <c r="G106" s="33">
        <v>0</v>
      </c>
      <c r="H106" s="24" t="s">
        <v>146</v>
      </c>
    </row>
    <row r="107" spans="1:8" x14ac:dyDescent="0.2">
      <c r="A107" s="25"/>
      <c r="B107" s="25"/>
      <c r="C107" s="34"/>
      <c r="D107" s="25"/>
      <c r="E107" s="25"/>
      <c r="F107" s="35"/>
      <c r="G107" s="35"/>
      <c r="H107" s="24" t="s">
        <v>146</v>
      </c>
    </row>
    <row r="108" spans="1:8" x14ac:dyDescent="0.2">
      <c r="A108" s="25"/>
      <c r="B108" s="25"/>
      <c r="C108" s="26" t="s">
        <v>163</v>
      </c>
      <c r="D108" s="25"/>
      <c r="E108" s="25"/>
      <c r="F108" s="35"/>
      <c r="G108" s="35"/>
      <c r="H108" s="24" t="s">
        <v>146</v>
      </c>
    </row>
    <row r="109" spans="1:8" x14ac:dyDescent="0.2">
      <c r="A109" s="27">
        <v>1</v>
      </c>
      <c r="B109" s="28"/>
      <c r="C109" s="28" t="s">
        <v>164</v>
      </c>
      <c r="D109" s="28"/>
      <c r="E109" s="38"/>
      <c r="F109" s="30">
        <v>4475.201025888</v>
      </c>
      <c r="G109" s="31">
        <v>4.9267270000000002E-2</v>
      </c>
      <c r="H109" s="24">
        <v>6.57</v>
      </c>
    </row>
    <row r="110" spans="1:8" x14ac:dyDescent="0.2">
      <c r="A110" s="25"/>
      <c r="B110" s="25"/>
      <c r="C110" s="26" t="s">
        <v>145</v>
      </c>
      <c r="D110" s="25"/>
      <c r="E110" s="25" t="s">
        <v>146</v>
      </c>
      <c r="F110" s="32">
        <v>4475.201025888</v>
      </c>
      <c r="G110" s="33">
        <v>4.9267270000000002E-2</v>
      </c>
      <c r="H110" s="24" t="s">
        <v>146</v>
      </c>
    </row>
    <row r="111" spans="1:8" x14ac:dyDescent="0.2">
      <c r="A111" s="25"/>
      <c r="B111" s="25"/>
      <c r="C111" s="34"/>
      <c r="D111" s="25"/>
      <c r="E111" s="25"/>
      <c r="F111" s="35"/>
      <c r="G111" s="35"/>
      <c r="H111" s="24" t="s">
        <v>146</v>
      </c>
    </row>
    <row r="112" spans="1:8" x14ac:dyDescent="0.2">
      <c r="A112" s="25"/>
      <c r="B112" s="25"/>
      <c r="C112" s="26" t="s">
        <v>165</v>
      </c>
      <c r="D112" s="25"/>
      <c r="E112" s="25"/>
      <c r="F112" s="32">
        <v>4475.201025888</v>
      </c>
      <c r="G112" s="33">
        <v>4.9267270000000002E-2</v>
      </c>
      <c r="H112" s="24" t="s">
        <v>146</v>
      </c>
    </row>
    <row r="113" spans="1:10" x14ac:dyDescent="0.2">
      <c r="A113" s="25"/>
      <c r="B113" s="25"/>
      <c r="C113" s="35"/>
      <c r="D113" s="25"/>
      <c r="E113" s="25"/>
      <c r="F113" s="25"/>
      <c r="G113" s="25"/>
      <c r="H113" s="24" t="s">
        <v>146</v>
      </c>
    </row>
    <row r="114" spans="1:10" x14ac:dyDescent="0.2">
      <c r="A114" s="25"/>
      <c r="B114" s="25"/>
      <c r="C114" s="26" t="s">
        <v>166</v>
      </c>
      <c r="D114" s="25"/>
      <c r="E114" s="25"/>
      <c r="F114" s="25"/>
      <c r="G114" s="25"/>
      <c r="H114" s="24" t="s">
        <v>146</v>
      </c>
    </row>
    <row r="115" spans="1:10" x14ac:dyDescent="0.2">
      <c r="A115" s="25"/>
      <c r="B115" s="25"/>
      <c r="C115" s="26" t="s">
        <v>167</v>
      </c>
      <c r="D115" s="25"/>
      <c r="E115" s="25"/>
      <c r="F115" s="25"/>
      <c r="G115" s="25"/>
      <c r="H115" s="24" t="s">
        <v>146</v>
      </c>
    </row>
    <row r="116" spans="1:10" x14ac:dyDescent="0.2">
      <c r="A116" s="25"/>
      <c r="B116" s="25"/>
      <c r="C116" s="26" t="s">
        <v>145</v>
      </c>
      <c r="D116" s="25"/>
      <c r="E116" s="25" t="s">
        <v>146</v>
      </c>
      <c r="F116" s="36" t="s">
        <v>148</v>
      </c>
      <c r="G116" s="33">
        <v>0</v>
      </c>
      <c r="H116" s="24" t="s">
        <v>146</v>
      </c>
    </row>
    <row r="117" spans="1:10" x14ac:dyDescent="0.2">
      <c r="A117" s="25"/>
      <c r="B117" s="25"/>
      <c r="C117" s="34"/>
      <c r="D117" s="25"/>
      <c r="E117" s="25"/>
      <c r="F117" s="35"/>
      <c r="G117" s="35"/>
      <c r="H117" s="24" t="s">
        <v>146</v>
      </c>
    </row>
    <row r="118" spans="1:10" x14ac:dyDescent="0.2">
      <c r="A118" s="25"/>
      <c r="B118" s="25"/>
      <c r="C118" s="26" t="s">
        <v>168</v>
      </c>
      <c r="D118" s="25"/>
      <c r="E118" s="25"/>
      <c r="F118" s="25"/>
      <c r="G118" s="25"/>
      <c r="H118" s="24" t="s">
        <v>146</v>
      </c>
    </row>
    <row r="119" spans="1:10" x14ac:dyDescent="0.2">
      <c r="A119" s="25"/>
      <c r="B119" s="25"/>
      <c r="C119" s="26" t="s">
        <v>169</v>
      </c>
      <c r="D119" s="25"/>
      <c r="E119" s="25"/>
      <c r="F119" s="25"/>
      <c r="G119" s="25"/>
      <c r="H119" s="24" t="s">
        <v>146</v>
      </c>
    </row>
    <row r="120" spans="1:10" x14ac:dyDescent="0.2">
      <c r="A120" s="25"/>
      <c r="B120" s="25"/>
      <c r="C120" s="26" t="s">
        <v>145</v>
      </c>
      <c r="D120" s="25"/>
      <c r="E120" s="25" t="s">
        <v>146</v>
      </c>
      <c r="F120" s="36" t="s">
        <v>148</v>
      </c>
      <c r="G120" s="33">
        <v>0</v>
      </c>
      <c r="H120" s="24" t="s">
        <v>146</v>
      </c>
    </row>
    <row r="121" spans="1:10" x14ac:dyDescent="0.2">
      <c r="A121" s="25"/>
      <c r="B121" s="25"/>
      <c r="C121" s="34"/>
      <c r="D121" s="25"/>
      <c r="E121" s="25"/>
      <c r="F121" s="35"/>
      <c r="G121" s="35"/>
      <c r="H121" s="24" t="s">
        <v>146</v>
      </c>
    </row>
    <row r="122" spans="1:10" x14ac:dyDescent="0.2">
      <c r="A122" s="25"/>
      <c r="B122" s="25"/>
      <c r="C122" s="26" t="s">
        <v>170</v>
      </c>
      <c r="D122" s="25"/>
      <c r="E122" s="25"/>
      <c r="F122" s="35"/>
      <c r="G122" s="35"/>
      <c r="H122" s="24" t="s">
        <v>146</v>
      </c>
    </row>
    <row r="123" spans="1:10" x14ac:dyDescent="0.2">
      <c r="A123" s="25"/>
      <c r="B123" s="25"/>
      <c r="C123" s="26" t="s">
        <v>145</v>
      </c>
      <c r="D123" s="25"/>
      <c r="E123" s="25" t="s">
        <v>146</v>
      </c>
      <c r="F123" s="36" t="s">
        <v>148</v>
      </c>
      <c r="G123" s="33">
        <v>0</v>
      </c>
      <c r="H123" s="24" t="s">
        <v>146</v>
      </c>
    </row>
    <row r="124" spans="1:10" x14ac:dyDescent="0.2">
      <c r="A124" s="25"/>
      <c r="B124" s="25"/>
      <c r="C124" s="34"/>
      <c r="D124" s="25"/>
      <c r="E124" s="25"/>
      <c r="F124" s="35"/>
      <c r="G124" s="35"/>
      <c r="H124" s="24" t="s">
        <v>146</v>
      </c>
    </row>
    <row r="125" spans="1:10" x14ac:dyDescent="0.2">
      <c r="A125" s="38"/>
      <c r="B125" s="28"/>
      <c r="C125" s="28" t="s">
        <v>171</v>
      </c>
      <c r="D125" s="28"/>
      <c r="E125" s="38"/>
      <c r="F125" s="30">
        <v>772.49644845</v>
      </c>
      <c r="G125" s="31">
        <v>8.5043800000000006E-3</v>
      </c>
      <c r="H125" s="24" t="s">
        <v>146</v>
      </c>
    </row>
    <row r="126" spans="1:10" x14ac:dyDescent="0.2">
      <c r="A126" s="34"/>
      <c r="B126" s="34"/>
      <c r="C126" s="26" t="s">
        <v>172</v>
      </c>
      <c r="D126" s="35"/>
      <c r="E126" s="35"/>
      <c r="F126" s="32">
        <v>90835.166970026999</v>
      </c>
      <c r="G126" s="39">
        <v>1.0000000600000001</v>
      </c>
      <c r="H126" s="24" t="s">
        <v>146</v>
      </c>
    </row>
    <row r="127" spans="1:10" x14ac:dyDescent="0.2">
      <c r="A127" s="40"/>
      <c r="B127" s="40"/>
      <c r="C127" s="40"/>
      <c r="D127" s="41"/>
      <c r="E127" s="41"/>
      <c r="F127" s="41"/>
      <c r="G127" s="41"/>
    </row>
    <row r="128" spans="1:10" x14ac:dyDescent="0.2">
      <c r="A128" s="42"/>
      <c r="B128" s="236" t="s">
        <v>858</v>
      </c>
      <c r="C128" s="236"/>
      <c r="D128" s="236"/>
      <c r="E128" s="236"/>
      <c r="F128" s="236"/>
      <c r="G128" s="236"/>
      <c r="H128" s="236"/>
      <c r="J128" s="44"/>
    </row>
    <row r="129" spans="1:17" x14ac:dyDescent="0.2">
      <c r="A129" s="42"/>
      <c r="B129" s="236" t="s">
        <v>859</v>
      </c>
      <c r="C129" s="236"/>
      <c r="D129" s="236"/>
      <c r="E129" s="236"/>
      <c r="F129" s="236"/>
      <c r="G129" s="236"/>
      <c r="H129" s="236"/>
      <c r="J129" s="44"/>
    </row>
    <row r="130" spans="1:17" x14ac:dyDescent="0.2">
      <c r="A130" s="42"/>
      <c r="B130" s="236" t="s">
        <v>860</v>
      </c>
      <c r="C130" s="236"/>
      <c r="D130" s="236"/>
      <c r="E130" s="236"/>
      <c r="F130" s="236"/>
      <c r="G130" s="236"/>
      <c r="H130" s="236"/>
      <c r="J130" s="44"/>
    </row>
    <row r="131" spans="1:17" s="46" customFormat="1" ht="66.75" customHeight="1" x14ac:dyDescent="0.25">
      <c r="A131" s="45"/>
      <c r="B131" s="237" t="s">
        <v>861</v>
      </c>
      <c r="C131" s="237"/>
      <c r="D131" s="237"/>
      <c r="E131" s="237"/>
      <c r="F131" s="237"/>
      <c r="G131" s="237"/>
      <c r="H131" s="237"/>
      <c r="I131"/>
      <c r="J131" s="44"/>
      <c r="K131"/>
      <c r="L131"/>
      <c r="M131"/>
      <c r="N131"/>
      <c r="O131"/>
      <c r="P131"/>
      <c r="Q131"/>
    </row>
    <row r="132" spans="1:17" x14ac:dyDescent="0.2">
      <c r="A132" s="42"/>
      <c r="B132" s="236" t="s">
        <v>862</v>
      </c>
      <c r="C132" s="236"/>
      <c r="D132" s="236"/>
      <c r="E132" s="236"/>
      <c r="F132" s="236"/>
      <c r="G132" s="236"/>
      <c r="H132" s="236"/>
      <c r="J132" s="44"/>
    </row>
    <row r="133" spans="1:17" x14ac:dyDescent="0.2">
      <c r="A133" s="47"/>
      <c r="B133" s="47"/>
      <c r="C133" s="47"/>
      <c r="D133" s="48"/>
      <c r="E133" s="48"/>
      <c r="F133" s="48"/>
      <c r="G133" s="48"/>
    </row>
    <row r="134" spans="1:17" x14ac:dyDescent="0.2">
      <c r="A134" s="47"/>
      <c r="B134" s="233" t="s">
        <v>173</v>
      </c>
      <c r="C134" s="234"/>
      <c r="D134" s="235"/>
      <c r="E134" s="49"/>
      <c r="F134" s="48"/>
      <c r="G134" s="48"/>
    </row>
    <row r="135" spans="1:17" ht="26.25" customHeight="1" x14ac:dyDescent="0.2">
      <c r="A135" s="42"/>
      <c r="B135" s="227" t="s">
        <v>174</v>
      </c>
      <c r="C135" s="228"/>
      <c r="D135" s="50" t="s">
        <v>175</v>
      </c>
      <c r="E135" s="51"/>
      <c r="F135" s="52"/>
      <c r="G135" s="52"/>
    </row>
    <row r="136" spans="1:17" ht="12.75" customHeight="1" x14ac:dyDescent="0.2">
      <c r="A136" s="42"/>
      <c r="B136" s="227" t="s">
        <v>863</v>
      </c>
      <c r="C136" s="228"/>
      <c r="D136" s="50" t="str">
        <f>"Rs. "&amp;TEXT(F66,"0.00")&amp;" lacs/ #"</f>
        <v>Rs. 0.00 lacs/ #</v>
      </c>
      <c r="E136" s="51"/>
      <c r="F136" s="52"/>
      <c r="G136" s="52"/>
    </row>
    <row r="137" spans="1:17" x14ac:dyDescent="0.2">
      <c r="A137" s="47"/>
      <c r="B137" s="231" t="s">
        <v>176</v>
      </c>
      <c r="C137" s="232"/>
      <c r="D137" s="35" t="s">
        <v>146</v>
      </c>
      <c r="E137" s="49"/>
      <c r="F137" s="48"/>
      <c r="G137" s="48"/>
    </row>
    <row r="138" spans="1:17" x14ac:dyDescent="0.2">
      <c r="A138" s="53"/>
      <c r="B138" s="54" t="s">
        <v>146</v>
      </c>
      <c r="C138" s="54" t="s">
        <v>864</v>
      </c>
      <c r="D138" s="54" t="s">
        <v>177</v>
      </c>
      <c r="E138" s="53"/>
      <c r="F138" s="53"/>
      <c r="G138" s="53"/>
      <c r="H138" s="53"/>
      <c r="J138" s="44"/>
    </row>
    <row r="139" spans="1:17" x14ac:dyDescent="0.2">
      <c r="A139" s="53"/>
      <c r="B139" s="55" t="s">
        <v>178</v>
      </c>
      <c r="C139" s="56">
        <v>45657</v>
      </c>
      <c r="D139" s="56">
        <v>45688</v>
      </c>
      <c r="E139" s="53"/>
      <c r="F139" s="53"/>
      <c r="G139" s="53"/>
      <c r="J139" s="44"/>
    </row>
    <row r="140" spans="1:17" x14ac:dyDescent="0.2">
      <c r="A140" s="57"/>
      <c r="B140" s="28" t="s">
        <v>179</v>
      </c>
      <c r="C140" s="58">
        <v>99.036000000000001</v>
      </c>
      <c r="D140" s="58">
        <v>92.661799999999999</v>
      </c>
      <c r="E140" s="57"/>
      <c r="F140" s="59"/>
      <c r="G140" s="60"/>
    </row>
    <row r="141" spans="1:17" x14ac:dyDescent="0.2">
      <c r="A141" s="57"/>
      <c r="B141" s="28" t="s">
        <v>1025</v>
      </c>
      <c r="C141" s="58">
        <v>61.02</v>
      </c>
      <c r="D141" s="58">
        <v>57.092500000000001</v>
      </c>
      <c r="E141" s="57"/>
      <c r="F141" s="59"/>
      <c r="G141" s="60"/>
    </row>
    <row r="142" spans="1:17" x14ac:dyDescent="0.2">
      <c r="A142" s="57"/>
      <c r="B142" s="28" t="s">
        <v>180</v>
      </c>
      <c r="C142" s="58">
        <v>92.943600000000004</v>
      </c>
      <c r="D142" s="58">
        <v>86.918599999999998</v>
      </c>
      <c r="E142" s="57"/>
      <c r="F142" s="59"/>
      <c r="G142" s="60"/>
    </row>
    <row r="143" spans="1:17" x14ac:dyDescent="0.2">
      <c r="A143" s="57"/>
      <c r="B143" s="28" t="s">
        <v>1026</v>
      </c>
      <c r="C143" s="58">
        <v>56.973100000000002</v>
      </c>
      <c r="D143" s="58">
        <v>53.279899999999998</v>
      </c>
      <c r="E143" s="57"/>
      <c r="F143" s="59"/>
      <c r="G143" s="60"/>
    </row>
    <row r="144" spans="1:17" x14ac:dyDescent="0.2">
      <c r="A144" s="57"/>
      <c r="B144" s="57"/>
      <c r="C144" s="57"/>
      <c r="D144" s="57"/>
      <c r="E144" s="57"/>
      <c r="F144" s="57"/>
      <c r="G144" s="57"/>
    </row>
    <row r="145" spans="1:10" x14ac:dyDescent="0.2">
      <c r="A145" s="53"/>
      <c r="B145" s="227" t="s">
        <v>865</v>
      </c>
      <c r="C145" s="228"/>
      <c r="D145" s="50" t="s">
        <v>175</v>
      </c>
      <c r="E145" s="53"/>
      <c r="F145" s="53"/>
      <c r="G145" s="53"/>
    </row>
    <row r="146" spans="1:10" x14ac:dyDescent="0.2">
      <c r="A146" s="53"/>
      <c r="B146" s="61"/>
      <c r="C146" s="61"/>
      <c r="D146" s="62"/>
      <c r="E146" s="53"/>
      <c r="F146" s="43"/>
      <c r="G146" s="63"/>
      <c r="J146" s="44"/>
    </row>
    <row r="147" spans="1:10" x14ac:dyDescent="0.2">
      <c r="A147" s="53"/>
      <c r="B147" s="227" t="s">
        <v>181</v>
      </c>
      <c r="C147" s="228"/>
      <c r="D147" s="50" t="s">
        <v>175</v>
      </c>
      <c r="E147" s="64"/>
      <c r="F147" s="53"/>
      <c r="G147" s="53"/>
      <c r="J147" s="44"/>
    </row>
    <row r="148" spans="1:10" x14ac:dyDescent="0.2">
      <c r="A148" s="53"/>
      <c r="B148" s="227" t="s">
        <v>182</v>
      </c>
      <c r="C148" s="228"/>
      <c r="D148" s="50" t="s">
        <v>175</v>
      </c>
      <c r="E148" s="64"/>
      <c r="F148" s="53"/>
      <c r="G148" s="53"/>
      <c r="J148" s="44"/>
    </row>
    <row r="149" spans="1:10" x14ac:dyDescent="0.2">
      <c r="A149" s="53"/>
      <c r="B149" s="227" t="s">
        <v>183</v>
      </c>
      <c r="C149" s="228"/>
      <c r="D149" s="50" t="s">
        <v>175</v>
      </c>
      <c r="E149" s="64"/>
      <c r="F149" s="53"/>
      <c r="G149" s="53"/>
      <c r="J149" s="44"/>
    </row>
    <row r="150" spans="1:10" x14ac:dyDescent="0.2">
      <c r="A150" s="53"/>
      <c r="B150" s="227" t="s">
        <v>184</v>
      </c>
      <c r="C150" s="228"/>
      <c r="D150" s="65">
        <v>0.39005229599463476</v>
      </c>
      <c r="E150" s="53"/>
      <c r="F150" s="43"/>
      <c r="G150" s="63"/>
      <c r="J150" s="44"/>
    </row>
    <row r="151" spans="1:10" x14ac:dyDescent="0.2">
      <c r="J151" s="44"/>
    </row>
    <row r="152" spans="1:10" x14ac:dyDescent="0.2">
      <c r="B152" s="229" t="s">
        <v>866</v>
      </c>
      <c r="C152" s="229"/>
    </row>
    <row r="154" spans="1:10" ht="153.75" customHeight="1" x14ac:dyDescent="0.2"/>
    <row r="157" spans="1:10" x14ac:dyDescent="0.2">
      <c r="B157" s="66" t="s">
        <v>867</v>
      </c>
      <c r="C157" s="67"/>
      <c r="D157" s="66"/>
    </row>
    <row r="158" spans="1:10" x14ac:dyDescent="0.2">
      <c r="B158" s="66" t="s">
        <v>868</v>
      </c>
      <c r="D158" s="66"/>
    </row>
    <row r="159" spans="1:10" ht="165" customHeight="1" x14ac:dyDescent="0.2"/>
    <row r="161" spans="10:10" x14ac:dyDescent="0.2">
      <c r="J161" s="21"/>
    </row>
    <row r="162" spans="10:10" x14ac:dyDescent="0.2">
      <c r="J162" s="21"/>
    </row>
    <row r="163" spans="10:10" x14ac:dyDescent="0.2">
      <c r="J163" s="21"/>
    </row>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sheetData>
  <mergeCells count="18">
    <mergeCell ref="A1:H1"/>
    <mergeCell ref="A2:H2"/>
    <mergeCell ref="A3:H3"/>
    <mergeCell ref="B136:C136"/>
    <mergeCell ref="B137:C137"/>
    <mergeCell ref="B134:D134"/>
    <mergeCell ref="B135:C135"/>
    <mergeCell ref="B128:H128"/>
    <mergeCell ref="B129:H129"/>
    <mergeCell ref="B130:H130"/>
    <mergeCell ref="B131:H131"/>
    <mergeCell ref="B132:H132"/>
    <mergeCell ref="B147:C147"/>
    <mergeCell ref="B148:C148"/>
    <mergeCell ref="B152:C152"/>
    <mergeCell ref="B145:C145"/>
    <mergeCell ref="B149:C149"/>
    <mergeCell ref="B150:C150"/>
  </mergeCells>
  <hyperlinks>
    <hyperlink ref="I1" location="Index!B2" display="Index" xr:uid="{650F7C80-A1D9-457C-ADC0-6BA48CC650C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7DD25-4431-4838-82AC-9C8D72F59CE5}">
  <sheetPr>
    <outlinePr summaryBelow="0" summaryRight="0"/>
  </sheetPr>
  <dimension ref="A1:Q131"/>
  <sheetViews>
    <sheetView showGridLines="0" workbookViewId="0">
      <selection activeCell="C9" sqref="C9"/>
    </sheetView>
  </sheetViews>
  <sheetFormatPr defaultRowHeight="12.75" x14ac:dyDescent="0.2"/>
  <cols>
    <col min="1" max="1" width="5.85546875" bestFit="1" customWidth="1"/>
    <col min="2" max="2" width="20"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725</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327</v>
      </c>
      <c r="C7" s="28" t="s">
        <v>328</v>
      </c>
      <c r="D7" s="28" t="s">
        <v>33</v>
      </c>
      <c r="E7" s="29">
        <v>550000</v>
      </c>
      <c r="F7" s="30">
        <v>9343.125</v>
      </c>
      <c r="G7" s="31">
        <v>8.7938230000000006E-2</v>
      </c>
      <c r="H7" s="24" t="s">
        <v>146</v>
      </c>
    </row>
    <row r="8" spans="1:9" x14ac:dyDescent="0.2">
      <c r="A8" s="27">
        <v>2</v>
      </c>
      <c r="B8" s="28" t="s">
        <v>31</v>
      </c>
      <c r="C8" s="28" t="s">
        <v>32</v>
      </c>
      <c r="D8" s="28" t="s">
        <v>33</v>
      </c>
      <c r="E8" s="29">
        <v>612000</v>
      </c>
      <c r="F8" s="30">
        <v>7667.1360000000004</v>
      </c>
      <c r="G8" s="31">
        <v>7.2163690000000003E-2</v>
      </c>
      <c r="H8" s="24" t="s">
        <v>146</v>
      </c>
    </row>
    <row r="9" spans="1:9" x14ac:dyDescent="0.2">
      <c r="A9" s="27">
        <v>3</v>
      </c>
      <c r="B9" s="28" t="s">
        <v>329</v>
      </c>
      <c r="C9" s="28" t="s">
        <v>330</v>
      </c>
      <c r="D9" s="28" t="s">
        <v>195</v>
      </c>
      <c r="E9" s="29">
        <v>319864</v>
      </c>
      <c r="F9" s="30">
        <v>6012.8034719999996</v>
      </c>
      <c r="G9" s="31">
        <v>5.6592980000000001E-2</v>
      </c>
      <c r="H9" s="24" t="s">
        <v>146</v>
      </c>
    </row>
    <row r="10" spans="1:9" x14ac:dyDescent="0.2">
      <c r="A10" s="27">
        <v>4</v>
      </c>
      <c r="B10" s="28" t="s">
        <v>17</v>
      </c>
      <c r="C10" s="28" t="s">
        <v>18</v>
      </c>
      <c r="D10" s="28" t="s">
        <v>19</v>
      </c>
      <c r="E10" s="29">
        <v>345000</v>
      </c>
      <c r="F10" s="30">
        <v>5610.7349999999997</v>
      </c>
      <c r="G10" s="31">
        <v>5.2808679999999997E-2</v>
      </c>
      <c r="H10" s="24" t="s">
        <v>146</v>
      </c>
    </row>
    <row r="11" spans="1:9" x14ac:dyDescent="0.2">
      <c r="A11" s="27">
        <v>5</v>
      </c>
      <c r="B11" s="28" t="s">
        <v>14</v>
      </c>
      <c r="C11" s="28" t="s">
        <v>15</v>
      </c>
      <c r="D11" s="28" t="s">
        <v>16</v>
      </c>
      <c r="E11" s="29">
        <v>440000</v>
      </c>
      <c r="F11" s="30">
        <v>5566.44</v>
      </c>
      <c r="G11" s="31">
        <v>5.2391769999999997E-2</v>
      </c>
      <c r="H11" s="24" t="s">
        <v>146</v>
      </c>
    </row>
    <row r="12" spans="1:9" x14ac:dyDescent="0.2">
      <c r="A12" s="27">
        <v>6</v>
      </c>
      <c r="B12" s="28" t="s">
        <v>339</v>
      </c>
      <c r="C12" s="28" t="s">
        <v>340</v>
      </c>
      <c r="D12" s="28" t="s">
        <v>33</v>
      </c>
      <c r="E12" s="29">
        <v>472482</v>
      </c>
      <c r="F12" s="30">
        <v>4659.1450020000002</v>
      </c>
      <c r="G12" s="31">
        <v>4.3852240000000001E-2</v>
      </c>
      <c r="H12" s="24" t="s">
        <v>146</v>
      </c>
    </row>
    <row r="13" spans="1:9" x14ac:dyDescent="0.2">
      <c r="A13" s="27">
        <v>7</v>
      </c>
      <c r="B13" s="28" t="s">
        <v>331</v>
      </c>
      <c r="C13" s="28" t="s">
        <v>332</v>
      </c>
      <c r="D13" s="28" t="s">
        <v>205</v>
      </c>
      <c r="E13" s="29">
        <v>2114000</v>
      </c>
      <c r="F13" s="30">
        <v>4658.1989999999996</v>
      </c>
      <c r="G13" s="31">
        <v>4.3843340000000001E-2</v>
      </c>
      <c r="H13" s="24" t="s">
        <v>146</v>
      </c>
    </row>
    <row r="14" spans="1:9" x14ac:dyDescent="0.2">
      <c r="A14" s="27">
        <v>8</v>
      </c>
      <c r="B14" s="28" t="s">
        <v>48</v>
      </c>
      <c r="C14" s="28" t="s">
        <v>49</v>
      </c>
      <c r="D14" s="28" t="s">
        <v>33</v>
      </c>
      <c r="E14" s="29">
        <v>597896</v>
      </c>
      <c r="F14" s="30">
        <v>4621.1381840000004</v>
      </c>
      <c r="G14" s="31">
        <v>4.3494520000000002E-2</v>
      </c>
      <c r="H14" s="24" t="s">
        <v>146</v>
      </c>
    </row>
    <row r="15" spans="1:9" x14ac:dyDescent="0.2">
      <c r="A15" s="27">
        <v>9</v>
      </c>
      <c r="B15" s="28" t="s">
        <v>726</v>
      </c>
      <c r="C15" s="28" t="s">
        <v>727</v>
      </c>
      <c r="D15" s="28" t="s">
        <v>280</v>
      </c>
      <c r="E15" s="29">
        <v>244811</v>
      </c>
      <c r="F15" s="30">
        <v>4549.8124349999998</v>
      </c>
      <c r="G15" s="31">
        <v>4.2823189999999997E-2</v>
      </c>
      <c r="H15" s="24" t="s">
        <v>146</v>
      </c>
    </row>
    <row r="16" spans="1:9" ht="25.5" x14ac:dyDescent="0.2">
      <c r="A16" s="27">
        <v>10</v>
      </c>
      <c r="B16" s="28" t="s">
        <v>345</v>
      </c>
      <c r="C16" s="28" t="s">
        <v>346</v>
      </c>
      <c r="D16" s="28" t="s">
        <v>198</v>
      </c>
      <c r="E16" s="29">
        <v>367886</v>
      </c>
      <c r="F16" s="30">
        <v>4478.4602210000003</v>
      </c>
      <c r="G16" s="31">
        <v>4.2151620000000001E-2</v>
      </c>
      <c r="H16" s="24" t="s">
        <v>146</v>
      </c>
    </row>
    <row r="17" spans="1:8" x14ac:dyDescent="0.2">
      <c r="A17" s="27">
        <v>11</v>
      </c>
      <c r="B17" s="28" t="s">
        <v>90</v>
      </c>
      <c r="C17" s="28" t="s">
        <v>91</v>
      </c>
      <c r="D17" s="28" t="s">
        <v>36</v>
      </c>
      <c r="E17" s="29">
        <v>592632</v>
      </c>
      <c r="F17" s="30">
        <v>3972.7086119999999</v>
      </c>
      <c r="G17" s="31">
        <v>3.739145E-2</v>
      </c>
      <c r="H17" s="24" t="s">
        <v>146</v>
      </c>
    </row>
    <row r="18" spans="1:8" x14ac:dyDescent="0.2">
      <c r="A18" s="27">
        <v>12</v>
      </c>
      <c r="B18" s="28" t="s">
        <v>530</v>
      </c>
      <c r="C18" s="28" t="s">
        <v>531</v>
      </c>
      <c r="D18" s="28" t="s">
        <v>195</v>
      </c>
      <c r="E18" s="29">
        <v>225000</v>
      </c>
      <c r="F18" s="30">
        <v>3767.5124999999998</v>
      </c>
      <c r="G18" s="31">
        <v>3.5460129999999999E-2</v>
      </c>
      <c r="H18" s="24" t="s">
        <v>146</v>
      </c>
    </row>
    <row r="19" spans="1:8" ht="25.5" x14ac:dyDescent="0.2">
      <c r="A19" s="27">
        <v>13</v>
      </c>
      <c r="B19" s="28" t="s">
        <v>728</v>
      </c>
      <c r="C19" s="28" t="s">
        <v>729</v>
      </c>
      <c r="D19" s="28" t="s">
        <v>198</v>
      </c>
      <c r="E19" s="29">
        <v>240425</v>
      </c>
      <c r="F19" s="30">
        <v>3665.8801874999999</v>
      </c>
      <c r="G19" s="31">
        <v>3.4503550000000001E-2</v>
      </c>
      <c r="H19" s="24" t="s">
        <v>146</v>
      </c>
    </row>
    <row r="20" spans="1:8" x14ac:dyDescent="0.2">
      <c r="A20" s="27">
        <v>14</v>
      </c>
      <c r="B20" s="28" t="s">
        <v>333</v>
      </c>
      <c r="C20" s="28" t="s">
        <v>334</v>
      </c>
      <c r="D20" s="28" t="s">
        <v>33</v>
      </c>
      <c r="E20" s="29">
        <v>190652</v>
      </c>
      <c r="F20" s="30">
        <v>3624.8664760000001</v>
      </c>
      <c r="G20" s="31">
        <v>3.411753E-2</v>
      </c>
      <c r="H20" s="24" t="s">
        <v>146</v>
      </c>
    </row>
    <row r="21" spans="1:8" x14ac:dyDescent="0.2">
      <c r="A21" s="27">
        <v>15</v>
      </c>
      <c r="B21" s="28" t="s">
        <v>234</v>
      </c>
      <c r="C21" s="28" t="s">
        <v>235</v>
      </c>
      <c r="D21" s="28" t="s">
        <v>205</v>
      </c>
      <c r="E21" s="29">
        <v>46000</v>
      </c>
      <c r="F21" s="30">
        <v>3552.902</v>
      </c>
      <c r="G21" s="31">
        <v>3.3440190000000002E-2</v>
      </c>
      <c r="H21" s="24" t="s">
        <v>146</v>
      </c>
    </row>
    <row r="22" spans="1:8" x14ac:dyDescent="0.2">
      <c r="A22" s="27">
        <v>16</v>
      </c>
      <c r="B22" s="28" t="s">
        <v>11</v>
      </c>
      <c r="C22" s="28" t="s">
        <v>12</v>
      </c>
      <c r="D22" s="28" t="s">
        <v>13</v>
      </c>
      <c r="E22" s="29">
        <v>90723</v>
      </c>
      <c r="F22" s="30">
        <v>3236.4523020000001</v>
      </c>
      <c r="G22" s="31">
        <v>3.0461740000000001E-2</v>
      </c>
      <c r="H22" s="24" t="s">
        <v>146</v>
      </c>
    </row>
    <row r="23" spans="1:8" x14ac:dyDescent="0.2">
      <c r="A23" s="27">
        <v>17</v>
      </c>
      <c r="B23" s="28" t="s">
        <v>92</v>
      </c>
      <c r="C23" s="28" t="s">
        <v>93</v>
      </c>
      <c r="D23" s="28" t="s">
        <v>83</v>
      </c>
      <c r="E23" s="29">
        <v>75675</v>
      </c>
      <c r="F23" s="30">
        <v>3161.0961000000002</v>
      </c>
      <c r="G23" s="31">
        <v>2.9752489999999999E-2</v>
      </c>
      <c r="H23" s="24" t="s">
        <v>146</v>
      </c>
    </row>
    <row r="24" spans="1:8" ht="25.5" x14ac:dyDescent="0.2">
      <c r="A24" s="27">
        <v>18</v>
      </c>
      <c r="B24" s="28" t="s">
        <v>443</v>
      </c>
      <c r="C24" s="28" t="s">
        <v>444</v>
      </c>
      <c r="D24" s="28" t="s">
        <v>218</v>
      </c>
      <c r="E24" s="29">
        <v>244574</v>
      </c>
      <c r="F24" s="30">
        <v>2506.0274909999998</v>
      </c>
      <c r="G24" s="31">
        <v>2.3586929999999999E-2</v>
      </c>
      <c r="H24" s="24" t="s">
        <v>146</v>
      </c>
    </row>
    <row r="25" spans="1:8" x14ac:dyDescent="0.2">
      <c r="A25" s="27">
        <v>19</v>
      </c>
      <c r="B25" s="28" t="s">
        <v>730</v>
      </c>
      <c r="C25" s="28" t="s">
        <v>731</v>
      </c>
      <c r="D25" s="28" t="s">
        <v>42</v>
      </c>
      <c r="E25" s="29">
        <v>227041</v>
      </c>
      <c r="F25" s="30">
        <v>2408.6779689999998</v>
      </c>
      <c r="G25" s="31">
        <v>2.267067E-2</v>
      </c>
      <c r="H25" s="24" t="s">
        <v>146</v>
      </c>
    </row>
    <row r="26" spans="1:8" x14ac:dyDescent="0.2">
      <c r="A26" s="27">
        <v>20</v>
      </c>
      <c r="B26" s="28" t="s">
        <v>78</v>
      </c>
      <c r="C26" s="28" t="s">
        <v>79</v>
      </c>
      <c r="D26" s="28" t="s">
        <v>80</v>
      </c>
      <c r="E26" s="29">
        <v>55000</v>
      </c>
      <c r="F26" s="30">
        <v>2378.3924999999999</v>
      </c>
      <c r="G26" s="31">
        <v>2.2385619999999998E-2</v>
      </c>
      <c r="H26" s="24" t="s">
        <v>146</v>
      </c>
    </row>
    <row r="27" spans="1:8" x14ac:dyDescent="0.2">
      <c r="A27" s="27">
        <v>21</v>
      </c>
      <c r="B27" s="28" t="s">
        <v>273</v>
      </c>
      <c r="C27" s="28" t="s">
        <v>274</v>
      </c>
      <c r="D27" s="28" t="s">
        <v>275</v>
      </c>
      <c r="E27" s="29">
        <v>89269</v>
      </c>
      <c r="F27" s="30">
        <v>2194.1427509999999</v>
      </c>
      <c r="G27" s="31">
        <v>2.0651449999999998E-2</v>
      </c>
      <c r="H27" s="24" t="s">
        <v>146</v>
      </c>
    </row>
    <row r="28" spans="1:8" x14ac:dyDescent="0.2">
      <c r="A28" s="27">
        <v>22</v>
      </c>
      <c r="B28" s="28" t="s">
        <v>100</v>
      </c>
      <c r="C28" s="28" t="s">
        <v>101</v>
      </c>
      <c r="D28" s="28" t="s">
        <v>36</v>
      </c>
      <c r="E28" s="29">
        <v>54427</v>
      </c>
      <c r="F28" s="30">
        <v>2102.8415719999998</v>
      </c>
      <c r="G28" s="31">
        <v>1.9792110000000002E-2</v>
      </c>
      <c r="H28" s="24" t="s">
        <v>146</v>
      </c>
    </row>
    <row r="29" spans="1:8" x14ac:dyDescent="0.2">
      <c r="A29" s="27">
        <v>23</v>
      </c>
      <c r="B29" s="28" t="s">
        <v>448</v>
      </c>
      <c r="C29" s="28" t="s">
        <v>449</v>
      </c>
      <c r="D29" s="28" t="s">
        <v>33</v>
      </c>
      <c r="E29" s="29">
        <v>211282</v>
      </c>
      <c r="F29" s="30">
        <v>2094.2271839999999</v>
      </c>
      <c r="G29" s="31">
        <v>1.9711030000000001E-2</v>
      </c>
      <c r="H29" s="24" t="s">
        <v>146</v>
      </c>
    </row>
    <row r="30" spans="1:8" x14ac:dyDescent="0.2">
      <c r="A30" s="27">
        <v>24</v>
      </c>
      <c r="B30" s="28" t="s">
        <v>528</v>
      </c>
      <c r="C30" s="28" t="s">
        <v>529</v>
      </c>
      <c r="D30" s="28" t="s">
        <v>275</v>
      </c>
      <c r="E30" s="29">
        <v>22619</v>
      </c>
      <c r="F30" s="30">
        <v>2001.2838819999999</v>
      </c>
      <c r="G30" s="31">
        <v>1.8836240000000001E-2</v>
      </c>
      <c r="H30" s="24" t="s">
        <v>146</v>
      </c>
    </row>
    <row r="31" spans="1:8" x14ac:dyDescent="0.2">
      <c r="A31" s="27">
        <v>25</v>
      </c>
      <c r="B31" s="28" t="s">
        <v>445</v>
      </c>
      <c r="C31" s="28" t="s">
        <v>446</v>
      </c>
      <c r="D31" s="28" t="s">
        <v>447</v>
      </c>
      <c r="E31" s="29">
        <v>330739</v>
      </c>
      <c r="F31" s="30">
        <v>1965.5818770000001</v>
      </c>
      <c r="G31" s="31">
        <v>1.850021E-2</v>
      </c>
      <c r="H31" s="24" t="s">
        <v>146</v>
      </c>
    </row>
    <row r="32" spans="1:8" x14ac:dyDescent="0.2">
      <c r="A32" s="27">
        <v>26</v>
      </c>
      <c r="B32" s="28" t="s">
        <v>732</v>
      </c>
      <c r="C32" s="28" t="s">
        <v>733</v>
      </c>
      <c r="D32" s="28" t="s">
        <v>275</v>
      </c>
      <c r="E32" s="29">
        <v>34721</v>
      </c>
      <c r="F32" s="30">
        <v>1803.5129030000001</v>
      </c>
      <c r="G32" s="31">
        <v>1.697481E-2</v>
      </c>
      <c r="H32" s="24" t="s">
        <v>146</v>
      </c>
    </row>
    <row r="33" spans="1:8" x14ac:dyDescent="0.2">
      <c r="A33" s="27">
        <v>27</v>
      </c>
      <c r="B33" s="28" t="s">
        <v>435</v>
      </c>
      <c r="C33" s="28" t="s">
        <v>436</v>
      </c>
      <c r="D33" s="28" t="s">
        <v>195</v>
      </c>
      <c r="E33" s="29">
        <v>58865</v>
      </c>
      <c r="F33" s="30">
        <v>1015.6861425</v>
      </c>
      <c r="G33" s="31">
        <v>9.5597200000000007E-3</v>
      </c>
      <c r="H33" s="24" t="s">
        <v>146</v>
      </c>
    </row>
    <row r="34" spans="1:8" x14ac:dyDescent="0.2">
      <c r="A34" s="25"/>
      <c r="B34" s="25"/>
      <c r="C34" s="26" t="s">
        <v>145</v>
      </c>
      <c r="D34" s="25"/>
      <c r="E34" s="25" t="s">
        <v>146</v>
      </c>
      <c r="F34" s="32">
        <v>102618.786763</v>
      </c>
      <c r="G34" s="33">
        <v>0.96585613000000003</v>
      </c>
      <c r="H34" s="24" t="s">
        <v>146</v>
      </c>
    </row>
    <row r="35" spans="1:8" x14ac:dyDescent="0.2">
      <c r="A35" s="25"/>
      <c r="B35" s="25"/>
      <c r="C35" s="34"/>
      <c r="D35" s="25"/>
      <c r="E35" s="25"/>
      <c r="F35" s="35"/>
      <c r="G35" s="35"/>
      <c r="H35" s="24" t="s">
        <v>146</v>
      </c>
    </row>
    <row r="36" spans="1:8" x14ac:dyDescent="0.2">
      <c r="A36" s="25"/>
      <c r="B36" s="25"/>
      <c r="C36" s="26" t="s">
        <v>147</v>
      </c>
      <c r="D36" s="25"/>
      <c r="E36" s="25"/>
      <c r="F36" s="25"/>
      <c r="G36" s="25"/>
      <c r="H36" s="24" t="s">
        <v>146</v>
      </c>
    </row>
    <row r="37" spans="1:8" x14ac:dyDescent="0.2">
      <c r="A37" s="25"/>
      <c r="B37" s="25"/>
      <c r="C37" s="26" t="s">
        <v>145</v>
      </c>
      <c r="D37" s="25"/>
      <c r="E37" s="25" t="s">
        <v>146</v>
      </c>
      <c r="F37" s="36" t="s">
        <v>148</v>
      </c>
      <c r="G37" s="33">
        <v>0</v>
      </c>
      <c r="H37" s="24" t="s">
        <v>146</v>
      </c>
    </row>
    <row r="38" spans="1:8" x14ac:dyDescent="0.2">
      <c r="A38" s="25"/>
      <c r="B38" s="25"/>
      <c r="C38" s="34"/>
      <c r="D38" s="25"/>
      <c r="E38" s="25"/>
      <c r="F38" s="35"/>
      <c r="G38" s="35"/>
      <c r="H38" s="24" t="s">
        <v>146</v>
      </c>
    </row>
    <row r="39" spans="1:8" x14ac:dyDescent="0.2">
      <c r="A39" s="25"/>
      <c r="B39" s="25"/>
      <c r="C39" s="26" t="s">
        <v>149</v>
      </c>
      <c r="D39" s="25"/>
      <c r="E39" s="25"/>
      <c r="F39" s="25"/>
      <c r="G39" s="25"/>
      <c r="H39" s="24" t="s">
        <v>146</v>
      </c>
    </row>
    <row r="40" spans="1:8" x14ac:dyDescent="0.2">
      <c r="A40" s="25"/>
      <c r="B40" s="25"/>
      <c r="C40" s="26" t="s">
        <v>145</v>
      </c>
      <c r="D40" s="25"/>
      <c r="E40" s="25" t="s">
        <v>146</v>
      </c>
      <c r="F40" s="36" t="s">
        <v>148</v>
      </c>
      <c r="G40" s="33">
        <v>0</v>
      </c>
      <c r="H40" s="24" t="s">
        <v>146</v>
      </c>
    </row>
    <row r="41" spans="1:8" x14ac:dyDescent="0.2">
      <c r="A41" s="25"/>
      <c r="B41" s="25"/>
      <c r="C41" s="34"/>
      <c r="D41" s="25"/>
      <c r="E41" s="25"/>
      <c r="F41" s="35"/>
      <c r="G41" s="35"/>
      <c r="H41" s="24" t="s">
        <v>146</v>
      </c>
    </row>
    <row r="42" spans="1:8" x14ac:dyDescent="0.2">
      <c r="A42" s="25"/>
      <c r="B42" s="25"/>
      <c r="C42" s="26" t="s">
        <v>150</v>
      </c>
      <c r="D42" s="25"/>
      <c r="E42" s="25"/>
      <c r="F42" s="25"/>
      <c r="G42" s="25"/>
      <c r="H42" s="24" t="s">
        <v>146</v>
      </c>
    </row>
    <row r="43" spans="1:8" x14ac:dyDescent="0.2">
      <c r="A43" s="25"/>
      <c r="B43" s="25"/>
      <c r="C43" s="26" t="s">
        <v>145</v>
      </c>
      <c r="D43" s="25"/>
      <c r="E43" s="25" t="s">
        <v>146</v>
      </c>
      <c r="F43" s="36" t="s">
        <v>148</v>
      </c>
      <c r="G43" s="33">
        <v>0</v>
      </c>
      <c r="H43" s="24" t="s">
        <v>146</v>
      </c>
    </row>
    <row r="44" spans="1:8" x14ac:dyDescent="0.2">
      <c r="A44" s="25"/>
      <c r="B44" s="25"/>
      <c r="C44" s="34"/>
      <c r="D44" s="25"/>
      <c r="E44" s="25"/>
      <c r="F44" s="35"/>
      <c r="G44" s="35"/>
      <c r="H44" s="24" t="s">
        <v>146</v>
      </c>
    </row>
    <row r="45" spans="1:8" x14ac:dyDescent="0.2">
      <c r="A45" s="25"/>
      <c r="B45" s="25"/>
      <c r="C45" s="26" t="s">
        <v>151</v>
      </c>
      <c r="D45" s="25"/>
      <c r="E45" s="25"/>
      <c r="F45" s="35"/>
      <c r="G45" s="35"/>
      <c r="H45" s="24" t="s">
        <v>146</v>
      </c>
    </row>
    <row r="46" spans="1:8" x14ac:dyDescent="0.2">
      <c r="A46" s="25"/>
      <c r="B46" s="25"/>
      <c r="C46" s="26" t="s">
        <v>145</v>
      </c>
      <c r="D46" s="25"/>
      <c r="E46" s="25" t="s">
        <v>146</v>
      </c>
      <c r="F46" s="36" t="s">
        <v>148</v>
      </c>
      <c r="G46" s="33">
        <v>0</v>
      </c>
      <c r="H46" s="24" t="s">
        <v>146</v>
      </c>
    </row>
    <row r="47" spans="1:8" x14ac:dyDescent="0.2">
      <c r="A47" s="25"/>
      <c r="B47" s="25"/>
      <c r="C47" s="34"/>
      <c r="D47" s="25"/>
      <c r="E47" s="25"/>
      <c r="F47" s="35"/>
      <c r="G47" s="35"/>
      <c r="H47" s="24" t="s">
        <v>146</v>
      </c>
    </row>
    <row r="48" spans="1:8" x14ac:dyDescent="0.2">
      <c r="A48" s="25"/>
      <c r="B48" s="25"/>
      <c r="C48" s="26" t="s">
        <v>152</v>
      </c>
      <c r="D48" s="25"/>
      <c r="E48" s="25"/>
      <c r="F48" s="35"/>
      <c r="G48" s="35"/>
      <c r="H48" s="24" t="s">
        <v>146</v>
      </c>
    </row>
    <row r="49" spans="1:8" x14ac:dyDescent="0.2">
      <c r="A49" s="25"/>
      <c r="B49" s="25"/>
      <c r="C49" s="26" t="s">
        <v>145</v>
      </c>
      <c r="D49" s="25"/>
      <c r="E49" s="25" t="s">
        <v>146</v>
      </c>
      <c r="F49" s="36" t="s">
        <v>148</v>
      </c>
      <c r="G49" s="33">
        <v>0</v>
      </c>
      <c r="H49" s="24" t="s">
        <v>146</v>
      </c>
    </row>
    <row r="50" spans="1:8" x14ac:dyDescent="0.2">
      <c r="A50" s="25"/>
      <c r="B50" s="25"/>
      <c r="C50" s="34"/>
      <c r="D50" s="25"/>
      <c r="E50" s="25"/>
      <c r="F50" s="35"/>
      <c r="G50" s="35"/>
      <c r="H50" s="24" t="s">
        <v>146</v>
      </c>
    </row>
    <row r="51" spans="1:8" x14ac:dyDescent="0.2">
      <c r="A51" s="25"/>
      <c r="B51" s="25"/>
      <c r="C51" s="26" t="s">
        <v>153</v>
      </c>
      <c r="D51" s="25"/>
      <c r="E51" s="25"/>
      <c r="F51" s="32">
        <v>102618.786763</v>
      </c>
      <c r="G51" s="33">
        <v>0.96585613000000003</v>
      </c>
      <c r="H51" s="24" t="s">
        <v>146</v>
      </c>
    </row>
    <row r="52" spans="1:8" x14ac:dyDescent="0.2">
      <c r="A52" s="25"/>
      <c r="B52" s="25"/>
      <c r="C52" s="34"/>
      <c r="D52" s="25"/>
      <c r="E52" s="25"/>
      <c r="F52" s="35"/>
      <c r="G52" s="35"/>
      <c r="H52" s="24" t="s">
        <v>146</v>
      </c>
    </row>
    <row r="53" spans="1:8" x14ac:dyDescent="0.2">
      <c r="A53" s="25"/>
      <c r="B53" s="25"/>
      <c r="C53" s="26" t="s">
        <v>154</v>
      </c>
      <c r="D53" s="25"/>
      <c r="E53" s="25"/>
      <c r="F53" s="35"/>
      <c r="G53" s="35"/>
      <c r="H53" s="24" t="s">
        <v>146</v>
      </c>
    </row>
    <row r="54" spans="1:8" x14ac:dyDescent="0.2">
      <c r="A54" s="25"/>
      <c r="B54" s="25"/>
      <c r="C54" s="26" t="s">
        <v>10</v>
      </c>
      <c r="D54" s="25"/>
      <c r="E54" s="25"/>
      <c r="F54" s="35"/>
      <c r="G54" s="35"/>
      <c r="H54" s="24" t="s">
        <v>146</v>
      </c>
    </row>
    <row r="55" spans="1:8" x14ac:dyDescent="0.2">
      <c r="A55" s="25"/>
      <c r="B55" s="25"/>
      <c r="C55" s="26" t="s">
        <v>145</v>
      </c>
      <c r="D55" s="25"/>
      <c r="E55" s="25" t="s">
        <v>146</v>
      </c>
      <c r="F55" s="36" t="s">
        <v>148</v>
      </c>
      <c r="G55" s="33">
        <v>0</v>
      </c>
      <c r="H55" s="24" t="s">
        <v>146</v>
      </c>
    </row>
    <row r="56" spans="1:8" x14ac:dyDescent="0.2">
      <c r="A56" s="25"/>
      <c r="B56" s="25"/>
      <c r="C56" s="34"/>
      <c r="D56" s="25"/>
      <c r="E56" s="25"/>
      <c r="F56" s="35"/>
      <c r="G56" s="35"/>
      <c r="H56" s="24" t="s">
        <v>146</v>
      </c>
    </row>
    <row r="57" spans="1:8" x14ac:dyDescent="0.2">
      <c r="A57" s="25"/>
      <c r="B57" s="25"/>
      <c r="C57" s="26" t="s">
        <v>155</v>
      </c>
      <c r="D57" s="25"/>
      <c r="E57" s="25"/>
      <c r="F57" s="25"/>
      <c r="G57" s="25"/>
      <c r="H57" s="24" t="s">
        <v>146</v>
      </c>
    </row>
    <row r="58" spans="1:8" x14ac:dyDescent="0.2">
      <c r="A58" s="25"/>
      <c r="B58" s="25"/>
      <c r="C58" s="26" t="s">
        <v>145</v>
      </c>
      <c r="D58" s="25"/>
      <c r="E58" s="25" t="s">
        <v>146</v>
      </c>
      <c r="F58" s="36" t="s">
        <v>148</v>
      </c>
      <c r="G58" s="33">
        <v>0</v>
      </c>
      <c r="H58" s="24" t="s">
        <v>146</v>
      </c>
    </row>
    <row r="59" spans="1:8" x14ac:dyDescent="0.2">
      <c r="A59" s="25"/>
      <c r="B59" s="25"/>
      <c r="C59" s="34"/>
      <c r="D59" s="25"/>
      <c r="E59" s="25"/>
      <c r="F59" s="35"/>
      <c r="G59" s="35"/>
      <c r="H59" s="24" t="s">
        <v>146</v>
      </c>
    </row>
    <row r="60" spans="1:8" x14ac:dyDescent="0.2">
      <c r="A60" s="25"/>
      <c r="B60" s="25"/>
      <c r="C60" s="26" t="s">
        <v>156</v>
      </c>
      <c r="D60" s="25"/>
      <c r="E60" s="25"/>
      <c r="F60" s="25"/>
      <c r="G60" s="25"/>
      <c r="H60" s="24" t="s">
        <v>146</v>
      </c>
    </row>
    <row r="61" spans="1:8" x14ac:dyDescent="0.2">
      <c r="A61" s="25"/>
      <c r="B61" s="25"/>
      <c r="C61" s="26" t="s">
        <v>145</v>
      </c>
      <c r="D61" s="25"/>
      <c r="E61" s="25" t="s">
        <v>146</v>
      </c>
      <c r="F61" s="36" t="s">
        <v>148</v>
      </c>
      <c r="G61" s="33">
        <v>0</v>
      </c>
      <c r="H61" s="24" t="s">
        <v>146</v>
      </c>
    </row>
    <row r="62" spans="1:8" x14ac:dyDescent="0.2">
      <c r="A62" s="25"/>
      <c r="B62" s="25"/>
      <c r="C62" s="34"/>
      <c r="D62" s="25"/>
      <c r="E62" s="25"/>
      <c r="F62" s="35"/>
      <c r="G62" s="35"/>
      <c r="H62" s="24" t="s">
        <v>146</v>
      </c>
    </row>
    <row r="63" spans="1:8" x14ac:dyDescent="0.2">
      <c r="A63" s="25"/>
      <c r="B63" s="25"/>
      <c r="C63" s="26" t="s">
        <v>157</v>
      </c>
      <c r="D63" s="25"/>
      <c r="E63" s="25"/>
      <c r="F63" s="35"/>
      <c r="G63" s="35"/>
      <c r="H63" s="24" t="s">
        <v>146</v>
      </c>
    </row>
    <row r="64" spans="1:8" x14ac:dyDescent="0.2">
      <c r="A64" s="25"/>
      <c r="B64" s="25"/>
      <c r="C64" s="26" t="s">
        <v>145</v>
      </c>
      <c r="D64" s="25"/>
      <c r="E64" s="25" t="s">
        <v>146</v>
      </c>
      <c r="F64" s="36" t="s">
        <v>148</v>
      </c>
      <c r="G64" s="33">
        <v>0</v>
      </c>
      <c r="H64" s="24" t="s">
        <v>146</v>
      </c>
    </row>
    <row r="65" spans="1:8" x14ac:dyDescent="0.2">
      <c r="A65" s="25"/>
      <c r="B65" s="25"/>
      <c r="C65" s="34"/>
      <c r="D65" s="25"/>
      <c r="E65" s="25"/>
      <c r="F65" s="35"/>
      <c r="G65" s="35"/>
      <c r="H65" s="24" t="s">
        <v>146</v>
      </c>
    </row>
    <row r="66" spans="1:8" x14ac:dyDescent="0.2">
      <c r="A66" s="25"/>
      <c r="B66" s="25"/>
      <c r="C66" s="26" t="s">
        <v>158</v>
      </c>
      <c r="D66" s="25"/>
      <c r="E66" s="25"/>
      <c r="F66" s="32">
        <v>0</v>
      </c>
      <c r="G66" s="33">
        <v>0</v>
      </c>
      <c r="H66" s="24" t="s">
        <v>146</v>
      </c>
    </row>
    <row r="67" spans="1:8" x14ac:dyDescent="0.2">
      <c r="A67" s="25"/>
      <c r="B67" s="25"/>
      <c r="C67" s="34"/>
      <c r="D67" s="25"/>
      <c r="E67" s="25"/>
      <c r="F67" s="35"/>
      <c r="G67" s="35"/>
      <c r="H67" s="24" t="s">
        <v>146</v>
      </c>
    </row>
    <row r="68" spans="1:8" x14ac:dyDescent="0.2">
      <c r="A68" s="25"/>
      <c r="B68" s="25"/>
      <c r="C68" s="26" t="s">
        <v>159</v>
      </c>
      <c r="D68" s="25"/>
      <c r="E68" s="25"/>
      <c r="F68" s="35"/>
      <c r="G68" s="35"/>
      <c r="H68" s="24" t="s">
        <v>146</v>
      </c>
    </row>
    <row r="69" spans="1:8" x14ac:dyDescent="0.2">
      <c r="A69" s="25"/>
      <c r="B69" s="25"/>
      <c r="C69" s="26" t="s">
        <v>160</v>
      </c>
      <c r="D69" s="25"/>
      <c r="E69" s="25"/>
      <c r="F69" s="35"/>
      <c r="G69" s="35"/>
      <c r="H69" s="24" t="s">
        <v>146</v>
      </c>
    </row>
    <row r="70" spans="1:8" x14ac:dyDescent="0.2">
      <c r="A70" s="25"/>
      <c r="B70" s="25"/>
      <c r="C70" s="26" t="s">
        <v>145</v>
      </c>
      <c r="D70" s="25"/>
      <c r="E70" s="25" t="s">
        <v>146</v>
      </c>
      <c r="F70" s="36" t="s">
        <v>148</v>
      </c>
      <c r="G70" s="33">
        <v>0</v>
      </c>
      <c r="H70" s="24" t="s">
        <v>146</v>
      </c>
    </row>
    <row r="71" spans="1:8" x14ac:dyDescent="0.2">
      <c r="A71" s="25"/>
      <c r="B71" s="25"/>
      <c r="C71" s="34"/>
      <c r="D71" s="25"/>
      <c r="E71" s="25"/>
      <c r="F71" s="35"/>
      <c r="G71" s="35"/>
      <c r="H71" s="24" t="s">
        <v>146</v>
      </c>
    </row>
    <row r="72" spans="1:8" x14ac:dyDescent="0.2">
      <c r="A72" s="25"/>
      <c r="B72" s="25"/>
      <c r="C72" s="26" t="s">
        <v>161</v>
      </c>
      <c r="D72" s="25"/>
      <c r="E72" s="25"/>
      <c r="F72" s="35"/>
      <c r="G72" s="35"/>
      <c r="H72" s="24" t="s">
        <v>146</v>
      </c>
    </row>
    <row r="73" spans="1:8" x14ac:dyDescent="0.2">
      <c r="A73" s="25"/>
      <c r="B73" s="25"/>
      <c r="C73" s="26" t="s">
        <v>145</v>
      </c>
      <c r="D73" s="25"/>
      <c r="E73" s="25" t="s">
        <v>146</v>
      </c>
      <c r="F73" s="36" t="s">
        <v>148</v>
      </c>
      <c r="G73" s="33">
        <v>0</v>
      </c>
      <c r="H73" s="24" t="s">
        <v>146</v>
      </c>
    </row>
    <row r="74" spans="1:8" x14ac:dyDescent="0.2">
      <c r="A74" s="25"/>
      <c r="B74" s="25"/>
      <c r="C74" s="34"/>
      <c r="D74" s="25"/>
      <c r="E74" s="25"/>
      <c r="F74" s="35"/>
      <c r="G74" s="35"/>
      <c r="H74" s="24" t="s">
        <v>146</v>
      </c>
    </row>
    <row r="75" spans="1:8" x14ac:dyDescent="0.2">
      <c r="A75" s="25"/>
      <c r="B75" s="25"/>
      <c r="C75" s="26" t="s">
        <v>162</v>
      </c>
      <c r="D75" s="25"/>
      <c r="E75" s="25"/>
      <c r="F75" s="35"/>
      <c r="G75" s="35"/>
      <c r="H75" s="24" t="s">
        <v>146</v>
      </c>
    </row>
    <row r="76" spans="1:8" x14ac:dyDescent="0.2">
      <c r="A76" s="25"/>
      <c r="B76" s="25"/>
      <c r="C76" s="26" t="s">
        <v>145</v>
      </c>
      <c r="D76" s="25"/>
      <c r="E76" s="25" t="s">
        <v>146</v>
      </c>
      <c r="F76" s="36" t="s">
        <v>148</v>
      </c>
      <c r="G76" s="33">
        <v>0</v>
      </c>
      <c r="H76" s="24" t="s">
        <v>146</v>
      </c>
    </row>
    <row r="77" spans="1:8" x14ac:dyDescent="0.2">
      <c r="A77" s="25"/>
      <c r="B77" s="25"/>
      <c r="C77" s="34"/>
      <c r="D77" s="25"/>
      <c r="E77" s="25"/>
      <c r="F77" s="35"/>
      <c r="G77" s="35"/>
      <c r="H77" s="24" t="s">
        <v>146</v>
      </c>
    </row>
    <row r="78" spans="1:8" x14ac:dyDescent="0.2">
      <c r="A78" s="25"/>
      <c r="B78" s="25"/>
      <c r="C78" s="26" t="s">
        <v>163</v>
      </c>
      <c r="D78" s="25"/>
      <c r="E78" s="25"/>
      <c r="F78" s="35"/>
      <c r="G78" s="35"/>
      <c r="H78" s="24" t="s">
        <v>146</v>
      </c>
    </row>
    <row r="79" spans="1:8" x14ac:dyDescent="0.2">
      <c r="A79" s="27">
        <v>1</v>
      </c>
      <c r="B79" s="28"/>
      <c r="C79" s="28" t="s">
        <v>164</v>
      </c>
      <c r="D79" s="28"/>
      <c r="E79" s="38"/>
      <c r="F79" s="30">
        <v>4220.5769760200001</v>
      </c>
      <c r="G79" s="31">
        <v>3.97244E-2</v>
      </c>
      <c r="H79" s="24">
        <v>6.57</v>
      </c>
    </row>
    <row r="80" spans="1:8" x14ac:dyDescent="0.2">
      <c r="A80" s="25"/>
      <c r="B80" s="25"/>
      <c r="C80" s="26" t="s">
        <v>145</v>
      </c>
      <c r="D80" s="25"/>
      <c r="E80" s="25" t="s">
        <v>146</v>
      </c>
      <c r="F80" s="32">
        <v>4220.5769760200001</v>
      </c>
      <c r="G80" s="33">
        <v>3.97244E-2</v>
      </c>
      <c r="H80" s="24" t="s">
        <v>146</v>
      </c>
    </row>
    <row r="81" spans="1:8" x14ac:dyDescent="0.2">
      <c r="A81" s="25"/>
      <c r="B81" s="25"/>
      <c r="C81" s="34"/>
      <c r="D81" s="25"/>
      <c r="E81" s="25"/>
      <c r="F81" s="35"/>
      <c r="G81" s="35"/>
      <c r="H81" s="24" t="s">
        <v>146</v>
      </c>
    </row>
    <row r="82" spans="1:8" x14ac:dyDescent="0.2">
      <c r="A82" s="25"/>
      <c r="B82" s="25"/>
      <c r="C82" s="26" t="s">
        <v>165</v>
      </c>
      <c r="D82" s="25"/>
      <c r="E82" s="25"/>
      <c r="F82" s="32">
        <v>4220.5769760200001</v>
      </c>
      <c r="G82" s="33">
        <v>3.97244E-2</v>
      </c>
      <c r="H82" s="24" t="s">
        <v>146</v>
      </c>
    </row>
    <row r="83" spans="1:8" x14ac:dyDescent="0.2">
      <c r="A83" s="25"/>
      <c r="B83" s="25"/>
      <c r="C83" s="35"/>
      <c r="D83" s="25"/>
      <c r="E83" s="25"/>
      <c r="F83" s="25"/>
      <c r="G83" s="25"/>
      <c r="H83" s="24" t="s">
        <v>146</v>
      </c>
    </row>
    <row r="84" spans="1:8" x14ac:dyDescent="0.2">
      <c r="A84" s="25"/>
      <c r="B84" s="25"/>
      <c r="C84" s="26" t="s">
        <v>166</v>
      </c>
      <c r="D84" s="25"/>
      <c r="E84" s="25"/>
      <c r="F84" s="25"/>
      <c r="G84" s="25"/>
      <c r="H84" s="24" t="s">
        <v>146</v>
      </c>
    </row>
    <row r="85" spans="1:8" x14ac:dyDescent="0.2">
      <c r="A85" s="25"/>
      <c r="B85" s="25"/>
      <c r="C85" s="26" t="s">
        <v>167</v>
      </c>
      <c r="D85" s="25"/>
      <c r="E85" s="25"/>
      <c r="F85" s="25"/>
      <c r="G85" s="25"/>
      <c r="H85" s="24" t="s">
        <v>146</v>
      </c>
    </row>
    <row r="86" spans="1:8" x14ac:dyDescent="0.2">
      <c r="A86" s="25"/>
      <c r="B86" s="25"/>
      <c r="C86" s="26" t="s">
        <v>145</v>
      </c>
      <c r="D86" s="25"/>
      <c r="E86" s="25" t="s">
        <v>146</v>
      </c>
      <c r="F86" s="36" t="s">
        <v>148</v>
      </c>
      <c r="G86" s="33">
        <v>0</v>
      </c>
      <c r="H86" s="24" t="s">
        <v>146</v>
      </c>
    </row>
    <row r="87" spans="1:8" x14ac:dyDescent="0.2">
      <c r="A87" s="25"/>
      <c r="B87" s="25"/>
      <c r="C87" s="34"/>
      <c r="D87" s="25"/>
      <c r="E87" s="25"/>
      <c r="F87" s="35"/>
      <c r="G87" s="35"/>
      <c r="H87" s="24" t="s">
        <v>146</v>
      </c>
    </row>
    <row r="88" spans="1:8" x14ac:dyDescent="0.2">
      <c r="A88" s="25"/>
      <c r="B88" s="25"/>
      <c r="C88" s="26" t="s">
        <v>168</v>
      </c>
      <c r="D88" s="25"/>
      <c r="E88" s="25"/>
      <c r="F88" s="25"/>
      <c r="G88" s="25"/>
      <c r="H88" s="24" t="s">
        <v>146</v>
      </c>
    </row>
    <row r="89" spans="1:8" x14ac:dyDescent="0.2">
      <c r="A89" s="25"/>
      <c r="B89" s="25"/>
      <c r="C89" s="26" t="s">
        <v>169</v>
      </c>
      <c r="D89" s="25"/>
      <c r="E89" s="25"/>
      <c r="F89" s="25"/>
      <c r="G89" s="25"/>
      <c r="H89" s="24" t="s">
        <v>146</v>
      </c>
    </row>
    <row r="90" spans="1:8" x14ac:dyDescent="0.2">
      <c r="A90" s="25"/>
      <c r="B90" s="25"/>
      <c r="C90" s="26" t="s">
        <v>145</v>
      </c>
      <c r="D90" s="25"/>
      <c r="E90" s="25" t="s">
        <v>146</v>
      </c>
      <c r="F90" s="36" t="s">
        <v>148</v>
      </c>
      <c r="G90" s="33">
        <v>0</v>
      </c>
      <c r="H90" s="24" t="s">
        <v>146</v>
      </c>
    </row>
    <row r="91" spans="1:8" x14ac:dyDescent="0.2">
      <c r="A91" s="25"/>
      <c r="B91" s="25"/>
      <c r="C91" s="34"/>
      <c r="D91" s="25"/>
      <c r="E91" s="25"/>
      <c r="F91" s="35"/>
      <c r="G91" s="35"/>
      <c r="H91" s="24" t="s">
        <v>146</v>
      </c>
    </row>
    <row r="92" spans="1:8" x14ac:dyDescent="0.2">
      <c r="A92" s="25"/>
      <c r="B92" s="25"/>
      <c r="C92" s="26" t="s">
        <v>170</v>
      </c>
      <c r="D92" s="25"/>
      <c r="E92" s="25"/>
      <c r="F92" s="35"/>
      <c r="G92" s="35"/>
      <c r="H92" s="24" t="s">
        <v>146</v>
      </c>
    </row>
    <row r="93" spans="1:8" x14ac:dyDescent="0.2">
      <c r="A93" s="25"/>
      <c r="B93" s="25"/>
      <c r="C93" s="26" t="s">
        <v>145</v>
      </c>
      <c r="D93" s="25"/>
      <c r="E93" s="25" t="s">
        <v>146</v>
      </c>
      <c r="F93" s="36" t="s">
        <v>148</v>
      </c>
      <c r="G93" s="33">
        <v>0</v>
      </c>
      <c r="H93" s="24" t="s">
        <v>146</v>
      </c>
    </row>
    <row r="94" spans="1:8" x14ac:dyDescent="0.2">
      <c r="A94" s="25"/>
      <c r="B94" s="28"/>
      <c r="C94" s="28"/>
      <c r="D94" s="26"/>
      <c r="E94" s="25"/>
      <c r="F94" s="28"/>
      <c r="G94" s="38"/>
      <c r="H94" s="24" t="s">
        <v>146</v>
      </c>
    </row>
    <row r="95" spans="1:8" x14ac:dyDescent="0.2">
      <c r="A95" s="38"/>
      <c r="B95" s="28"/>
      <c r="C95" s="28" t="s">
        <v>171</v>
      </c>
      <c r="D95" s="28"/>
      <c r="E95" s="38"/>
      <c r="F95" s="30">
        <v>-592.91066549000004</v>
      </c>
      <c r="G95" s="31">
        <v>-5.5805200000000003E-3</v>
      </c>
      <c r="H95" s="24" t="s">
        <v>146</v>
      </c>
    </row>
    <row r="96" spans="1:8" x14ac:dyDescent="0.2">
      <c r="A96" s="34"/>
      <c r="B96" s="34"/>
      <c r="C96" s="26" t="s">
        <v>172</v>
      </c>
      <c r="D96" s="35"/>
      <c r="E96" s="35"/>
      <c r="F96" s="32">
        <v>106246.45307353001</v>
      </c>
      <c r="G96" s="39">
        <v>1.0000000099999999</v>
      </c>
      <c r="H96" s="24" t="s">
        <v>146</v>
      </c>
    </row>
    <row r="97" spans="1:17" x14ac:dyDescent="0.2">
      <c r="A97" s="40"/>
      <c r="B97" s="40"/>
      <c r="C97" s="40"/>
      <c r="D97" s="41"/>
      <c r="E97" s="41"/>
      <c r="F97" s="41"/>
      <c r="G97" s="41"/>
    </row>
    <row r="98" spans="1:17" x14ac:dyDescent="0.2">
      <c r="A98" s="42"/>
      <c r="B98" s="236" t="s">
        <v>858</v>
      </c>
      <c r="C98" s="236"/>
      <c r="D98" s="236"/>
      <c r="E98" s="236"/>
      <c r="F98" s="236"/>
      <c r="G98" s="236"/>
      <c r="H98" s="236"/>
      <c r="J98" s="44"/>
    </row>
    <row r="99" spans="1:17" x14ac:dyDescent="0.2">
      <c r="A99" s="42"/>
      <c r="B99" s="236" t="s">
        <v>859</v>
      </c>
      <c r="C99" s="236"/>
      <c r="D99" s="236"/>
      <c r="E99" s="236"/>
      <c r="F99" s="236"/>
      <c r="G99" s="236"/>
      <c r="H99" s="236"/>
      <c r="J99" s="44"/>
    </row>
    <row r="100" spans="1:17" x14ac:dyDescent="0.2">
      <c r="A100" s="42"/>
      <c r="B100" s="236" t="s">
        <v>860</v>
      </c>
      <c r="C100" s="236"/>
      <c r="D100" s="236"/>
      <c r="E100" s="236"/>
      <c r="F100" s="236"/>
      <c r="G100" s="236"/>
      <c r="H100" s="236"/>
      <c r="J100" s="44"/>
    </row>
    <row r="101" spans="1:17" s="46" customFormat="1" ht="65.25" customHeight="1" x14ac:dyDescent="0.25">
      <c r="A101" s="45"/>
      <c r="B101" s="237" t="s">
        <v>861</v>
      </c>
      <c r="C101" s="237"/>
      <c r="D101" s="237"/>
      <c r="E101" s="237"/>
      <c r="F101" s="237"/>
      <c r="G101" s="237"/>
      <c r="H101" s="237"/>
      <c r="I101"/>
      <c r="J101" s="44"/>
      <c r="K101"/>
      <c r="L101"/>
      <c r="M101"/>
      <c r="N101"/>
      <c r="O101"/>
      <c r="P101"/>
      <c r="Q101"/>
    </row>
    <row r="102" spans="1:17" x14ac:dyDescent="0.2">
      <c r="A102" s="42"/>
      <c r="B102" s="236" t="s">
        <v>862</v>
      </c>
      <c r="C102" s="236"/>
      <c r="D102" s="236"/>
      <c r="E102" s="236"/>
      <c r="F102" s="236"/>
      <c r="G102" s="236"/>
      <c r="H102" s="236"/>
      <c r="J102" s="44"/>
    </row>
    <row r="103" spans="1:17" x14ac:dyDescent="0.2">
      <c r="A103" s="47"/>
      <c r="B103" s="47"/>
      <c r="C103" s="47"/>
      <c r="D103" s="48"/>
      <c r="E103" s="48"/>
      <c r="F103" s="48"/>
      <c r="G103" s="48"/>
      <c r="H103" s="44"/>
    </row>
    <row r="104" spans="1:17" x14ac:dyDescent="0.2">
      <c r="A104" s="47"/>
      <c r="B104" s="233" t="s">
        <v>173</v>
      </c>
      <c r="C104" s="234"/>
      <c r="D104" s="235"/>
      <c r="E104" s="49"/>
      <c r="F104" s="48"/>
      <c r="G104" s="48"/>
    </row>
    <row r="105" spans="1:17" ht="24.75" customHeight="1" x14ac:dyDescent="0.2">
      <c r="A105" s="47"/>
      <c r="B105" s="231" t="s">
        <v>174</v>
      </c>
      <c r="C105" s="232"/>
      <c r="D105" s="26" t="s">
        <v>175</v>
      </c>
      <c r="E105" s="49"/>
      <c r="F105" s="48"/>
      <c r="G105" s="48"/>
    </row>
    <row r="106" spans="1:17" x14ac:dyDescent="0.2">
      <c r="A106" s="47"/>
      <c r="B106" s="231" t="s">
        <v>863</v>
      </c>
      <c r="C106" s="232"/>
      <c r="D106" s="26" t="s">
        <v>175</v>
      </c>
      <c r="E106" s="49"/>
      <c r="F106" s="48"/>
      <c r="G106" s="48"/>
    </row>
    <row r="107" spans="1:17" x14ac:dyDescent="0.2">
      <c r="A107" s="47"/>
      <c r="B107" s="231" t="s">
        <v>176</v>
      </c>
      <c r="C107" s="232"/>
      <c r="D107" s="35" t="s">
        <v>146</v>
      </c>
      <c r="E107" s="49"/>
      <c r="F107" s="48"/>
      <c r="G107" s="48"/>
    </row>
    <row r="108" spans="1:17" x14ac:dyDescent="0.2">
      <c r="A108" s="53"/>
      <c r="B108" s="54" t="s">
        <v>146</v>
      </c>
      <c r="C108" s="54" t="s">
        <v>864</v>
      </c>
      <c r="D108" s="54" t="s">
        <v>177</v>
      </c>
      <c r="E108" s="53"/>
      <c r="F108" s="53"/>
      <c r="G108" s="53"/>
      <c r="J108" s="44"/>
    </row>
    <row r="109" spans="1:17" x14ac:dyDescent="0.2">
      <c r="A109" s="53"/>
      <c r="B109" s="55" t="s">
        <v>178</v>
      </c>
      <c r="C109" s="56">
        <v>45657</v>
      </c>
      <c r="D109" s="56">
        <v>45688</v>
      </c>
      <c r="E109" s="53"/>
      <c r="F109" s="53"/>
      <c r="G109" s="53"/>
      <c r="H109" s="44"/>
      <c r="J109" s="44"/>
    </row>
    <row r="110" spans="1:17" x14ac:dyDescent="0.2">
      <c r="A110" s="57"/>
      <c r="B110" s="28" t="s">
        <v>179</v>
      </c>
      <c r="C110" s="58">
        <v>176.65360000000001</v>
      </c>
      <c r="D110" s="58">
        <v>169.6121</v>
      </c>
      <c r="E110" s="57"/>
      <c r="F110" s="59"/>
      <c r="G110" s="60"/>
      <c r="H110" s="44"/>
    </row>
    <row r="111" spans="1:17" ht="25.5" x14ac:dyDescent="0.2">
      <c r="A111" s="57"/>
      <c r="B111" s="28" t="s">
        <v>1027</v>
      </c>
      <c r="C111" s="58">
        <v>46.777700000000003</v>
      </c>
      <c r="D111" s="58">
        <v>44.912999999999997</v>
      </c>
      <c r="E111" s="57"/>
      <c r="F111" s="59"/>
      <c r="G111" s="60"/>
    </row>
    <row r="112" spans="1:17" x14ac:dyDescent="0.2">
      <c r="A112" s="57"/>
      <c r="B112" s="28" t="s">
        <v>180</v>
      </c>
      <c r="C112" s="58">
        <v>160.34809999999999</v>
      </c>
      <c r="D112" s="58">
        <v>153.8263</v>
      </c>
      <c r="E112" s="57"/>
      <c r="F112" s="59"/>
      <c r="G112" s="60"/>
    </row>
    <row r="113" spans="1:7" ht="25.5" x14ac:dyDescent="0.2">
      <c r="A113" s="57"/>
      <c r="B113" s="28" t="s">
        <v>1028</v>
      </c>
      <c r="C113" s="58">
        <v>43.241999999999997</v>
      </c>
      <c r="D113" s="58">
        <v>41.4831</v>
      </c>
      <c r="E113" s="57"/>
      <c r="F113" s="59"/>
      <c r="G113" s="60"/>
    </row>
    <row r="114" spans="1:7" x14ac:dyDescent="0.2">
      <c r="A114" s="57"/>
      <c r="B114" s="57"/>
      <c r="C114" s="57"/>
      <c r="D114" s="57"/>
      <c r="E114" s="57"/>
      <c r="F114" s="57"/>
      <c r="G114" s="57"/>
    </row>
    <row r="115" spans="1:7" x14ac:dyDescent="0.2">
      <c r="A115" s="53"/>
      <c r="B115" s="227" t="s">
        <v>865</v>
      </c>
      <c r="C115" s="228"/>
      <c r="D115" s="50" t="s">
        <v>175</v>
      </c>
      <c r="E115" s="53"/>
      <c r="F115" s="53"/>
      <c r="G115" s="53"/>
    </row>
    <row r="116" spans="1:7" x14ac:dyDescent="0.2">
      <c r="A116" s="53"/>
      <c r="B116" s="74"/>
      <c r="C116" s="74"/>
      <c r="D116" s="74"/>
      <c r="E116" s="53"/>
      <c r="F116" s="53"/>
      <c r="G116" s="53"/>
    </row>
    <row r="117" spans="1:7" ht="29.1" customHeight="1" x14ac:dyDescent="0.2">
      <c r="A117" s="53"/>
      <c r="B117" s="227" t="s">
        <v>181</v>
      </c>
      <c r="C117" s="228"/>
      <c r="D117" s="50" t="s">
        <v>175</v>
      </c>
      <c r="E117" s="64"/>
      <c r="F117" s="53"/>
      <c r="G117" s="53"/>
    </row>
    <row r="118" spans="1:7" ht="29.1" customHeight="1" x14ac:dyDescent="0.2">
      <c r="A118" s="53"/>
      <c r="B118" s="227" t="s">
        <v>182</v>
      </c>
      <c r="C118" s="228"/>
      <c r="D118" s="50" t="s">
        <v>175</v>
      </c>
      <c r="E118" s="64"/>
      <c r="F118" s="53"/>
      <c r="G118" s="53"/>
    </row>
    <row r="119" spans="1:7" ht="17.100000000000001" customHeight="1" x14ac:dyDescent="0.2">
      <c r="A119" s="53"/>
      <c r="B119" s="227" t="s">
        <v>183</v>
      </c>
      <c r="C119" s="228"/>
      <c r="D119" s="50" t="s">
        <v>175</v>
      </c>
      <c r="E119" s="64"/>
      <c r="F119" s="53"/>
      <c r="G119" s="53"/>
    </row>
    <row r="120" spans="1:7" ht="17.100000000000001" customHeight="1" x14ac:dyDescent="0.2">
      <c r="A120" s="53"/>
      <c r="B120" s="227" t="s">
        <v>184</v>
      </c>
      <c r="C120" s="228"/>
      <c r="D120" s="65">
        <v>0.65458958791308952</v>
      </c>
      <c r="E120" s="53"/>
      <c r="F120" s="43"/>
      <c r="G120" s="63"/>
    </row>
    <row r="122" spans="1:7" x14ac:dyDescent="0.2">
      <c r="B122" s="229" t="s">
        <v>866</v>
      </c>
      <c r="C122" s="229"/>
    </row>
    <row r="124" spans="1:7" ht="153.75" customHeight="1" x14ac:dyDescent="0.2"/>
    <row r="127" spans="1:7" x14ac:dyDescent="0.2">
      <c r="B127" s="66" t="s">
        <v>867</v>
      </c>
      <c r="C127" s="67"/>
      <c r="D127" s="66" t="s">
        <v>870</v>
      </c>
    </row>
    <row r="128" spans="1:7" x14ac:dyDescent="0.2">
      <c r="B128" s="66" t="s">
        <v>993</v>
      </c>
      <c r="D128" s="66" t="s">
        <v>994</v>
      </c>
    </row>
    <row r="129" spans="10:10" ht="165" customHeight="1" x14ac:dyDescent="0.2"/>
    <row r="131" spans="10:10" x14ac:dyDescent="0.2">
      <c r="J131" s="21"/>
    </row>
  </sheetData>
  <mergeCells count="18">
    <mergeCell ref="A1:H1"/>
    <mergeCell ref="A2:H2"/>
    <mergeCell ref="A3:H3"/>
    <mergeCell ref="B106:C106"/>
    <mergeCell ref="B107:C107"/>
    <mergeCell ref="B104:D104"/>
    <mergeCell ref="B105:C105"/>
    <mergeCell ref="B98:H98"/>
    <mergeCell ref="B99:H99"/>
    <mergeCell ref="B100:H100"/>
    <mergeCell ref="B101:H101"/>
    <mergeCell ref="B102:H102"/>
    <mergeCell ref="B117:C117"/>
    <mergeCell ref="B118:C118"/>
    <mergeCell ref="B122:C122"/>
    <mergeCell ref="B115:C115"/>
    <mergeCell ref="B119:C119"/>
    <mergeCell ref="B120:C120"/>
  </mergeCells>
  <hyperlinks>
    <hyperlink ref="I1" location="Index!B2" display="Index" xr:uid="{0592243B-04A8-445E-814E-B674E6C0D6F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70724-6596-44AB-A4FF-03B965BDFEBE}">
  <sheetPr>
    <outlinePr summaryBelow="0" summaryRight="0"/>
  </sheetPr>
  <dimension ref="A1:Q182"/>
  <sheetViews>
    <sheetView showGridLines="0" workbookViewId="0">
      <selection activeCell="C9" sqref="C9"/>
    </sheetView>
  </sheetViews>
  <sheetFormatPr defaultRowHeight="12.75" x14ac:dyDescent="0.2"/>
  <cols>
    <col min="1" max="1" width="5.85546875" bestFit="1" customWidth="1"/>
    <col min="2" max="2" width="20" bestFit="1" customWidth="1"/>
    <col min="3" max="3" width="39.140625" bestFit="1" customWidth="1"/>
    <col min="4" max="4" width="21.28515625"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734</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327</v>
      </c>
      <c r="C7" s="28" t="s">
        <v>328</v>
      </c>
      <c r="D7" s="28" t="s">
        <v>33</v>
      </c>
      <c r="E7" s="29">
        <v>778994</v>
      </c>
      <c r="F7" s="30">
        <v>13233.160575</v>
      </c>
      <c r="G7" s="31">
        <v>5.0054370000000001E-2</v>
      </c>
      <c r="H7" s="24" t="s">
        <v>146</v>
      </c>
    </row>
    <row r="8" spans="1:9" x14ac:dyDescent="0.2">
      <c r="A8" s="27">
        <v>2</v>
      </c>
      <c r="B8" s="28" t="s">
        <v>14</v>
      </c>
      <c r="C8" s="28" t="s">
        <v>15</v>
      </c>
      <c r="D8" s="28" t="s">
        <v>16</v>
      </c>
      <c r="E8" s="29">
        <v>836759</v>
      </c>
      <c r="F8" s="30">
        <v>10585.838109</v>
      </c>
      <c r="G8" s="31">
        <v>4.0040880000000001E-2</v>
      </c>
      <c r="H8" s="24" t="s">
        <v>146</v>
      </c>
    </row>
    <row r="9" spans="1:9" x14ac:dyDescent="0.2">
      <c r="A9" s="27">
        <v>3</v>
      </c>
      <c r="B9" s="28" t="s">
        <v>31</v>
      </c>
      <c r="C9" s="28" t="s">
        <v>32</v>
      </c>
      <c r="D9" s="28" t="s">
        <v>33</v>
      </c>
      <c r="E9" s="29">
        <v>843569</v>
      </c>
      <c r="F9" s="30">
        <v>10568.232432000001</v>
      </c>
      <c r="G9" s="31">
        <v>3.9974290000000003E-2</v>
      </c>
      <c r="H9" s="24" t="s">
        <v>146</v>
      </c>
    </row>
    <row r="10" spans="1:9" x14ac:dyDescent="0.2">
      <c r="A10" s="27">
        <v>4</v>
      </c>
      <c r="B10" s="28" t="s">
        <v>11</v>
      </c>
      <c r="C10" s="28" t="s">
        <v>12</v>
      </c>
      <c r="D10" s="28" t="s">
        <v>13</v>
      </c>
      <c r="E10" s="29">
        <v>256848</v>
      </c>
      <c r="F10" s="30">
        <v>9162.7955519999996</v>
      </c>
      <c r="G10" s="31">
        <v>3.4658229999999998E-2</v>
      </c>
      <c r="H10" s="24" t="s">
        <v>146</v>
      </c>
    </row>
    <row r="11" spans="1:9" x14ac:dyDescent="0.2">
      <c r="A11" s="27">
        <v>5</v>
      </c>
      <c r="B11" s="28" t="s">
        <v>333</v>
      </c>
      <c r="C11" s="28" t="s">
        <v>334</v>
      </c>
      <c r="D11" s="28" t="s">
        <v>33</v>
      </c>
      <c r="E11" s="29">
        <v>391704</v>
      </c>
      <c r="F11" s="30">
        <v>7447.4681520000004</v>
      </c>
      <c r="G11" s="31">
        <v>2.8170009999999999E-2</v>
      </c>
      <c r="H11" s="24" t="s">
        <v>146</v>
      </c>
    </row>
    <row r="12" spans="1:9" x14ac:dyDescent="0.2">
      <c r="A12" s="27">
        <v>6</v>
      </c>
      <c r="B12" s="28" t="s">
        <v>339</v>
      </c>
      <c r="C12" s="28" t="s">
        <v>340</v>
      </c>
      <c r="D12" s="28" t="s">
        <v>33</v>
      </c>
      <c r="E12" s="29">
        <v>732696</v>
      </c>
      <c r="F12" s="30">
        <v>7225.115256</v>
      </c>
      <c r="G12" s="31">
        <v>2.7328959999999999E-2</v>
      </c>
      <c r="H12" s="24" t="s">
        <v>146</v>
      </c>
    </row>
    <row r="13" spans="1:9" x14ac:dyDescent="0.2">
      <c r="A13" s="27">
        <v>7</v>
      </c>
      <c r="B13" s="28" t="s">
        <v>329</v>
      </c>
      <c r="C13" s="28" t="s">
        <v>330</v>
      </c>
      <c r="D13" s="28" t="s">
        <v>195</v>
      </c>
      <c r="E13" s="29">
        <v>354987</v>
      </c>
      <c r="F13" s="30">
        <v>6673.0456260000001</v>
      </c>
      <c r="G13" s="31">
        <v>2.5240760000000001E-2</v>
      </c>
      <c r="H13" s="24" t="s">
        <v>146</v>
      </c>
    </row>
    <row r="14" spans="1:9" x14ac:dyDescent="0.2">
      <c r="A14" s="27">
        <v>8</v>
      </c>
      <c r="B14" s="28" t="s">
        <v>199</v>
      </c>
      <c r="C14" s="28" t="s">
        <v>200</v>
      </c>
      <c r="D14" s="28" t="s">
        <v>33</v>
      </c>
      <c r="E14" s="29">
        <v>1197042</v>
      </c>
      <c r="F14" s="30">
        <v>6652.560915</v>
      </c>
      <c r="G14" s="31">
        <v>2.516328E-2</v>
      </c>
      <c r="H14" s="24" t="s">
        <v>146</v>
      </c>
    </row>
    <row r="15" spans="1:9" x14ac:dyDescent="0.2">
      <c r="A15" s="27">
        <v>9</v>
      </c>
      <c r="B15" s="28" t="s">
        <v>52</v>
      </c>
      <c r="C15" s="28" t="s">
        <v>53</v>
      </c>
      <c r="D15" s="28" t="s">
        <v>42</v>
      </c>
      <c r="E15" s="29">
        <v>147730</v>
      </c>
      <c r="F15" s="30">
        <v>5944.0642799999996</v>
      </c>
      <c r="G15" s="31">
        <v>2.2483389999999999E-2</v>
      </c>
      <c r="H15" s="24" t="s">
        <v>146</v>
      </c>
    </row>
    <row r="16" spans="1:9" x14ac:dyDescent="0.2">
      <c r="A16" s="27">
        <v>10</v>
      </c>
      <c r="B16" s="28" t="s">
        <v>37</v>
      </c>
      <c r="C16" s="28" t="s">
        <v>38</v>
      </c>
      <c r="D16" s="28" t="s">
        <v>39</v>
      </c>
      <c r="E16" s="29">
        <v>90000</v>
      </c>
      <c r="F16" s="30">
        <v>5851.62</v>
      </c>
      <c r="G16" s="31">
        <v>2.2133719999999999E-2</v>
      </c>
      <c r="H16" s="24" t="s">
        <v>146</v>
      </c>
    </row>
    <row r="17" spans="1:8" x14ac:dyDescent="0.2">
      <c r="A17" s="27">
        <v>11</v>
      </c>
      <c r="B17" s="28" t="s">
        <v>221</v>
      </c>
      <c r="C17" s="28" t="s">
        <v>222</v>
      </c>
      <c r="D17" s="28" t="s">
        <v>223</v>
      </c>
      <c r="E17" s="29">
        <v>800364</v>
      </c>
      <c r="F17" s="30">
        <v>5633.7621959999997</v>
      </c>
      <c r="G17" s="31">
        <v>2.1309680000000001E-2</v>
      </c>
      <c r="H17" s="24" t="s">
        <v>146</v>
      </c>
    </row>
    <row r="18" spans="1:8" x14ac:dyDescent="0.2">
      <c r="A18" s="27">
        <v>12</v>
      </c>
      <c r="B18" s="28" t="s">
        <v>352</v>
      </c>
      <c r="C18" s="28" t="s">
        <v>353</v>
      </c>
      <c r="D18" s="28" t="s">
        <v>354</v>
      </c>
      <c r="E18" s="29">
        <v>373348</v>
      </c>
      <c r="F18" s="30">
        <v>5629.9011659999996</v>
      </c>
      <c r="G18" s="31">
        <v>2.1295069999999999E-2</v>
      </c>
      <c r="H18" s="24" t="s">
        <v>146</v>
      </c>
    </row>
    <row r="19" spans="1:8" ht="25.5" x14ac:dyDescent="0.2">
      <c r="A19" s="27">
        <v>13</v>
      </c>
      <c r="B19" s="28" t="s">
        <v>196</v>
      </c>
      <c r="C19" s="28" t="s">
        <v>197</v>
      </c>
      <c r="D19" s="28" t="s">
        <v>198</v>
      </c>
      <c r="E19" s="29">
        <v>269345</v>
      </c>
      <c r="F19" s="30">
        <v>5603.5880525000002</v>
      </c>
      <c r="G19" s="31">
        <v>2.1195550000000001E-2</v>
      </c>
      <c r="H19" s="24" t="s">
        <v>146</v>
      </c>
    </row>
    <row r="20" spans="1:8" x14ac:dyDescent="0.2">
      <c r="A20" s="27">
        <v>14</v>
      </c>
      <c r="B20" s="28" t="s">
        <v>17</v>
      </c>
      <c r="C20" s="28" t="s">
        <v>18</v>
      </c>
      <c r="D20" s="28" t="s">
        <v>19</v>
      </c>
      <c r="E20" s="29">
        <v>339573</v>
      </c>
      <c r="F20" s="30">
        <v>5522.4756989999996</v>
      </c>
      <c r="G20" s="31">
        <v>2.0888739999999999E-2</v>
      </c>
      <c r="H20" s="24" t="s">
        <v>146</v>
      </c>
    </row>
    <row r="21" spans="1:8" x14ac:dyDescent="0.2">
      <c r="A21" s="27">
        <v>15</v>
      </c>
      <c r="B21" s="28" t="s">
        <v>28</v>
      </c>
      <c r="C21" s="28" t="s">
        <v>29</v>
      </c>
      <c r="D21" s="28" t="s">
        <v>30</v>
      </c>
      <c r="E21" s="29">
        <v>1637569</v>
      </c>
      <c r="F21" s="30">
        <v>4792.3456784999998</v>
      </c>
      <c r="G21" s="31">
        <v>1.8127020000000001E-2</v>
      </c>
      <c r="H21" s="24" t="s">
        <v>146</v>
      </c>
    </row>
    <row r="22" spans="1:8" x14ac:dyDescent="0.2">
      <c r="A22" s="27">
        <v>16</v>
      </c>
      <c r="B22" s="28" t="s">
        <v>526</v>
      </c>
      <c r="C22" s="28" t="s">
        <v>527</v>
      </c>
      <c r="D22" s="28" t="s">
        <v>275</v>
      </c>
      <c r="E22" s="29">
        <v>35931</v>
      </c>
      <c r="F22" s="30">
        <v>4423.3396515000004</v>
      </c>
      <c r="G22" s="31">
        <v>1.6731260000000001E-2</v>
      </c>
      <c r="H22" s="24" t="s">
        <v>146</v>
      </c>
    </row>
    <row r="23" spans="1:8" ht="25.5" x14ac:dyDescent="0.2">
      <c r="A23" s="27">
        <v>17</v>
      </c>
      <c r="B23" s="28" t="s">
        <v>23</v>
      </c>
      <c r="C23" s="28" t="s">
        <v>24</v>
      </c>
      <c r="D23" s="28" t="s">
        <v>25</v>
      </c>
      <c r="E23" s="29">
        <v>38374</v>
      </c>
      <c r="F23" s="30">
        <v>4408.1940629999999</v>
      </c>
      <c r="G23" s="31">
        <v>1.667397E-2</v>
      </c>
      <c r="H23" s="24" t="s">
        <v>146</v>
      </c>
    </row>
    <row r="24" spans="1:8" x14ac:dyDescent="0.2">
      <c r="A24" s="27">
        <v>18</v>
      </c>
      <c r="B24" s="28" t="s">
        <v>371</v>
      </c>
      <c r="C24" s="28" t="s">
        <v>372</v>
      </c>
      <c r="D24" s="28" t="s">
        <v>373</v>
      </c>
      <c r="E24" s="29">
        <v>1097168</v>
      </c>
      <c r="F24" s="30">
        <v>4343.6881119999998</v>
      </c>
      <c r="G24" s="31">
        <v>1.642998E-2</v>
      </c>
      <c r="H24" s="24" t="s">
        <v>146</v>
      </c>
    </row>
    <row r="25" spans="1:8" ht="25.5" x14ac:dyDescent="0.2">
      <c r="A25" s="27">
        <v>19</v>
      </c>
      <c r="B25" s="28" t="s">
        <v>50</v>
      </c>
      <c r="C25" s="28" t="s">
        <v>51</v>
      </c>
      <c r="D25" s="28" t="s">
        <v>25</v>
      </c>
      <c r="E25" s="29">
        <v>89197</v>
      </c>
      <c r="F25" s="30">
        <v>4312.5411544999997</v>
      </c>
      <c r="G25" s="31">
        <v>1.6312170000000001E-2</v>
      </c>
      <c r="H25" s="24" t="s">
        <v>146</v>
      </c>
    </row>
    <row r="26" spans="1:8" x14ac:dyDescent="0.2">
      <c r="A26" s="27">
        <v>20</v>
      </c>
      <c r="B26" s="28" t="s">
        <v>206</v>
      </c>
      <c r="C26" s="28" t="s">
        <v>207</v>
      </c>
      <c r="D26" s="28" t="s">
        <v>208</v>
      </c>
      <c r="E26" s="29">
        <v>652550</v>
      </c>
      <c r="F26" s="30">
        <v>4177.6251000000002</v>
      </c>
      <c r="G26" s="31">
        <v>1.5801849999999999E-2</v>
      </c>
      <c r="H26" s="24" t="s">
        <v>146</v>
      </c>
    </row>
    <row r="27" spans="1:8" x14ac:dyDescent="0.2">
      <c r="A27" s="27">
        <v>21</v>
      </c>
      <c r="B27" s="28" t="s">
        <v>20</v>
      </c>
      <c r="C27" s="28" t="s">
        <v>21</v>
      </c>
      <c r="D27" s="28" t="s">
        <v>22</v>
      </c>
      <c r="E27" s="29">
        <v>1288873</v>
      </c>
      <c r="F27" s="30">
        <v>4175.9485199999999</v>
      </c>
      <c r="G27" s="31">
        <v>1.5795509999999999E-2</v>
      </c>
      <c r="H27" s="24" t="s">
        <v>146</v>
      </c>
    </row>
    <row r="28" spans="1:8" x14ac:dyDescent="0.2">
      <c r="A28" s="27">
        <v>22</v>
      </c>
      <c r="B28" s="28" t="s">
        <v>315</v>
      </c>
      <c r="C28" s="28" t="s">
        <v>316</v>
      </c>
      <c r="D28" s="28" t="s">
        <v>39</v>
      </c>
      <c r="E28" s="29">
        <v>410348</v>
      </c>
      <c r="F28" s="30">
        <v>4068.1900719999999</v>
      </c>
      <c r="G28" s="31">
        <v>1.5387909999999999E-2</v>
      </c>
      <c r="H28" s="24" t="s">
        <v>146</v>
      </c>
    </row>
    <row r="29" spans="1:8" x14ac:dyDescent="0.2">
      <c r="A29" s="27">
        <v>23</v>
      </c>
      <c r="B29" s="28" t="s">
        <v>69</v>
      </c>
      <c r="C29" s="28" t="s">
        <v>70</v>
      </c>
      <c r="D29" s="28" t="s">
        <v>22</v>
      </c>
      <c r="E29" s="29">
        <v>1094203</v>
      </c>
      <c r="F29" s="30">
        <v>3988.3699350000002</v>
      </c>
      <c r="G29" s="31">
        <v>1.5085990000000001E-2</v>
      </c>
      <c r="H29" s="24" t="s">
        <v>146</v>
      </c>
    </row>
    <row r="30" spans="1:8" x14ac:dyDescent="0.2">
      <c r="A30" s="27">
        <v>24</v>
      </c>
      <c r="B30" s="28" t="s">
        <v>680</v>
      </c>
      <c r="C30" s="28" t="s">
        <v>681</v>
      </c>
      <c r="D30" s="28" t="s">
        <v>39</v>
      </c>
      <c r="E30" s="29">
        <v>218760</v>
      </c>
      <c r="F30" s="30">
        <v>3976.0723800000001</v>
      </c>
      <c r="G30" s="31">
        <v>1.5039479999999999E-2</v>
      </c>
      <c r="H30" s="24" t="s">
        <v>146</v>
      </c>
    </row>
    <row r="31" spans="1:8" x14ac:dyDescent="0.2">
      <c r="A31" s="27">
        <v>25</v>
      </c>
      <c r="B31" s="28" t="s">
        <v>244</v>
      </c>
      <c r="C31" s="28" t="s">
        <v>245</v>
      </c>
      <c r="D31" s="28" t="s">
        <v>120</v>
      </c>
      <c r="E31" s="29">
        <v>41331</v>
      </c>
      <c r="F31" s="30">
        <v>3869.6768714999998</v>
      </c>
      <c r="G31" s="31">
        <v>1.4637030000000001E-2</v>
      </c>
      <c r="H31" s="24" t="s">
        <v>146</v>
      </c>
    </row>
    <row r="32" spans="1:8" x14ac:dyDescent="0.2">
      <c r="A32" s="27">
        <v>26</v>
      </c>
      <c r="B32" s="28" t="s">
        <v>92</v>
      </c>
      <c r="C32" s="28" t="s">
        <v>93</v>
      </c>
      <c r="D32" s="28" t="s">
        <v>83</v>
      </c>
      <c r="E32" s="29">
        <v>88568</v>
      </c>
      <c r="F32" s="30">
        <v>3699.6624959999999</v>
      </c>
      <c r="G32" s="31">
        <v>1.399396E-2</v>
      </c>
      <c r="H32" s="24" t="s">
        <v>146</v>
      </c>
    </row>
    <row r="33" spans="1:8" x14ac:dyDescent="0.2">
      <c r="A33" s="27">
        <v>27</v>
      </c>
      <c r="B33" s="28" t="s">
        <v>435</v>
      </c>
      <c r="C33" s="28" t="s">
        <v>436</v>
      </c>
      <c r="D33" s="28" t="s">
        <v>195</v>
      </c>
      <c r="E33" s="29">
        <v>212747</v>
      </c>
      <c r="F33" s="30">
        <v>3670.8431114999998</v>
      </c>
      <c r="G33" s="31">
        <v>1.388495E-2</v>
      </c>
      <c r="H33" s="24" t="s">
        <v>146</v>
      </c>
    </row>
    <row r="34" spans="1:8" x14ac:dyDescent="0.2">
      <c r="A34" s="27">
        <v>28</v>
      </c>
      <c r="B34" s="28" t="s">
        <v>383</v>
      </c>
      <c r="C34" s="28" t="s">
        <v>384</v>
      </c>
      <c r="D34" s="28" t="s">
        <v>195</v>
      </c>
      <c r="E34" s="29">
        <v>522421</v>
      </c>
      <c r="F34" s="30">
        <v>3652.5064215000002</v>
      </c>
      <c r="G34" s="31">
        <v>1.3815590000000001E-2</v>
      </c>
      <c r="H34" s="24" t="s">
        <v>146</v>
      </c>
    </row>
    <row r="35" spans="1:8" x14ac:dyDescent="0.2">
      <c r="A35" s="27">
        <v>29</v>
      </c>
      <c r="B35" s="28" t="s">
        <v>219</v>
      </c>
      <c r="C35" s="28" t="s">
        <v>220</v>
      </c>
      <c r="D35" s="28" t="s">
        <v>16</v>
      </c>
      <c r="E35" s="29">
        <v>1014935</v>
      </c>
      <c r="F35" s="30">
        <v>3636.0046375000002</v>
      </c>
      <c r="G35" s="31">
        <v>1.375317E-2</v>
      </c>
      <c r="H35" s="24" t="s">
        <v>146</v>
      </c>
    </row>
    <row r="36" spans="1:8" ht="25.5" x14ac:dyDescent="0.2">
      <c r="A36" s="27">
        <v>30</v>
      </c>
      <c r="B36" s="28" t="s">
        <v>216</v>
      </c>
      <c r="C36" s="28" t="s">
        <v>217</v>
      </c>
      <c r="D36" s="28" t="s">
        <v>218</v>
      </c>
      <c r="E36" s="29">
        <v>531956</v>
      </c>
      <c r="F36" s="30">
        <v>3567.5629140000001</v>
      </c>
      <c r="G36" s="31">
        <v>1.3494290000000001E-2</v>
      </c>
      <c r="H36" s="24" t="s">
        <v>146</v>
      </c>
    </row>
    <row r="37" spans="1:8" x14ac:dyDescent="0.2">
      <c r="A37" s="27">
        <v>31</v>
      </c>
      <c r="B37" s="28" t="s">
        <v>234</v>
      </c>
      <c r="C37" s="28" t="s">
        <v>235</v>
      </c>
      <c r="D37" s="28" t="s">
        <v>205</v>
      </c>
      <c r="E37" s="29">
        <v>45749</v>
      </c>
      <c r="F37" s="30">
        <v>3533.5155129999998</v>
      </c>
      <c r="G37" s="31">
        <v>1.3365510000000001E-2</v>
      </c>
      <c r="H37" s="24" t="s">
        <v>146</v>
      </c>
    </row>
    <row r="38" spans="1:8" x14ac:dyDescent="0.2">
      <c r="A38" s="27">
        <v>32</v>
      </c>
      <c r="B38" s="28" t="s">
        <v>287</v>
      </c>
      <c r="C38" s="28" t="s">
        <v>288</v>
      </c>
      <c r="D38" s="28" t="s">
        <v>233</v>
      </c>
      <c r="E38" s="29">
        <v>95434</v>
      </c>
      <c r="F38" s="30">
        <v>3438.9641900000001</v>
      </c>
      <c r="G38" s="31">
        <v>1.300787E-2</v>
      </c>
      <c r="H38" s="24" t="s">
        <v>146</v>
      </c>
    </row>
    <row r="39" spans="1:8" x14ac:dyDescent="0.2">
      <c r="A39" s="27">
        <v>33</v>
      </c>
      <c r="B39" s="28" t="s">
        <v>486</v>
      </c>
      <c r="C39" s="28" t="s">
        <v>487</v>
      </c>
      <c r="D39" s="28" t="s">
        <v>96</v>
      </c>
      <c r="E39" s="29">
        <v>212889</v>
      </c>
      <c r="F39" s="30">
        <v>3221.4363480000002</v>
      </c>
      <c r="G39" s="31">
        <v>1.2185069999999999E-2</v>
      </c>
      <c r="H39" s="24" t="s">
        <v>146</v>
      </c>
    </row>
    <row r="40" spans="1:8" x14ac:dyDescent="0.2">
      <c r="A40" s="27">
        <v>34</v>
      </c>
      <c r="B40" s="28" t="s">
        <v>110</v>
      </c>
      <c r="C40" s="28" t="s">
        <v>111</v>
      </c>
      <c r="D40" s="28" t="s">
        <v>42</v>
      </c>
      <c r="E40" s="29">
        <v>108339</v>
      </c>
      <c r="F40" s="30">
        <v>3157.0526295</v>
      </c>
      <c r="G40" s="31">
        <v>1.194154E-2</v>
      </c>
      <c r="H40" s="24" t="s">
        <v>146</v>
      </c>
    </row>
    <row r="41" spans="1:8" x14ac:dyDescent="0.2">
      <c r="A41" s="27">
        <v>35</v>
      </c>
      <c r="B41" s="28" t="s">
        <v>71</v>
      </c>
      <c r="C41" s="28" t="s">
        <v>72</v>
      </c>
      <c r="D41" s="28" t="s">
        <v>36</v>
      </c>
      <c r="E41" s="29">
        <v>49745</v>
      </c>
      <c r="F41" s="30">
        <v>3021.1879574999998</v>
      </c>
      <c r="G41" s="31">
        <v>1.1427629999999999E-2</v>
      </c>
      <c r="H41" s="24" t="s">
        <v>146</v>
      </c>
    </row>
    <row r="42" spans="1:8" x14ac:dyDescent="0.2">
      <c r="A42" s="27">
        <v>36</v>
      </c>
      <c r="B42" s="28" t="s">
        <v>307</v>
      </c>
      <c r="C42" s="28" t="s">
        <v>308</v>
      </c>
      <c r="D42" s="28" t="s">
        <v>120</v>
      </c>
      <c r="E42" s="29">
        <v>176267</v>
      </c>
      <c r="F42" s="30">
        <v>3019.1011760000001</v>
      </c>
      <c r="G42" s="31">
        <v>1.1419739999999999E-2</v>
      </c>
      <c r="H42" s="24" t="s">
        <v>146</v>
      </c>
    </row>
    <row r="43" spans="1:8" x14ac:dyDescent="0.2">
      <c r="A43" s="27">
        <v>37</v>
      </c>
      <c r="B43" s="28" t="s">
        <v>265</v>
      </c>
      <c r="C43" s="28" t="s">
        <v>266</v>
      </c>
      <c r="D43" s="28" t="s">
        <v>120</v>
      </c>
      <c r="E43" s="29">
        <v>493726</v>
      </c>
      <c r="F43" s="30">
        <v>2952.9752060000001</v>
      </c>
      <c r="G43" s="31">
        <v>1.116961E-2</v>
      </c>
      <c r="H43" s="24" t="s">
        <v>146</v>
      </c>
    </row>
    <row r="44" spans="1:8" x14ac:dyDescent="0.2">
      <c r="A44" s="27">
        <v>38</v>
      </c>
      <c r="B44" s="28" t="s">
        <v>502</v>
      </c>
      <c r="C44" s="28" t="s">
        <v>503</v>
      </c>
      <c r="D44" s="28" t="s">
        <v>42</v>
      </c>
      <c r="E44" s="29">
        <v>73004</v>
      </c>
      <c r="F44" s="30">
        <v>2952.1722540000001</v>
      </c>
      <c r="G44" s="31">
        <v>1.1166580000000001E-2</v>
      </c>
      <c r="H44" s="24" t="s">
        <v>146</v>
      </c>
    </row>
    <row r="45" spans="1:8" x14ac:dyDescent="0.2">
      <c r="A45" s="27">
        <v>39</v>
      </c>
      <c r="B45" s="28" t="s">
        <v>45</v>
      </c>
      <c r="C45" s="28" t="s">
        <v>46</v>
      </c>
      <c r="D45" s="28" t="s">
        <v>47</v>
      </c>
      <c r="E45" s="29">
        <v>249912</v>
      </c>
      <c r="F45" s="30">
        <v>2926.5944760000002</v>
      </c>
      <c r="G45" s="31">
        <v>1.1069829999999999E-2</v>
      </c>
      <c r="H45" s="24" t="s">
        <v>146</v>
      </c>
    </row>
    <row r="46" spans="1:8" x14ac:dyDescent="0.2">
      <c r="A46" s="27">
        <v>40</v>
      </c>
      <c r="B46" s="28" t="s">
        <v>735</v>
      </c>
      <c r="C46" s="28" t="s">
        <v>736</v>
      </c>
      <c r="D46" s="28" t="s">
        <v>737</v>
      </c>
      <c r="E46" s="29">
        <v>733086</v>
      </c>
      <c r="F46" s="30">
        <v>2920.6146239999998</v>
      </c>
      <c r="G46" s="31">
        <v>1.104721E-2</v>
      </c>
      <c r="H46" s="24" t="s">
        <v>146</v>
      </c>
    </row>
    <row r="47" spans="1:8" x14ac:dyDescent="0.2">
      <c r="A47" s="27">
        <v>41</v>
      </c>
      <c r="B47" s="28" t="s">
        <v>248</v>
      </c>
      <c r="C47" s="28" t="s">
        <v>249</v>
      </c>
      <c r="D47" s="28" t="s">
        <v>223</v>
      </c>
      <c r="E47" s="29">
        <v>375104</v>
      </c>
      <c r="F47" s="30">
        <v>2891.8642880000002</v>
      </c>
      <c r="G47" s="31">
        <v>1.0938460000000001E-2</v>
      </c>
      <c r="H47" s="24" t="s">
        <v>146</v>
      </c>
    </row>
    <row r="48" spans="1:8" x14ac:dyDescent="0.2">
      <c r="A48" s="27">
        <v>42</v>
      </c>
      <c r="B48" s="28" t="s">
        <v>283</v>
      </c>
      <c r="C48" s="28" t="s">
        <v>284</v>
      </c>
      <c r="D48" s="28" t="s">
        <v>83</v>
      </c>
      <c r="E48" s="29">
        <v>86243</v>
      </c>
      <c r="F48" s="30">
        <v>2865.0787030000001</v>
      </c>
      <c r="G48" s="31">
        <v>1.083715E-2</v>
      </c>
      <c r="H48" s="24" t="s">
        <v>146</v>
      </c>
    </row>
    <row r="49" spans="1:8" x14ac:dyDescent="0.2">
      <c r="A49" s="27">
        <v>43</v>
      </c>
      <c r="B49" s="28" t="s">
        <v>240</v>
      </c>
      <c r="C49" s="28" t="s">
        <v>241</v>
      </c>
      <c r="D49" s="28" t="s">
        <v>195</v>
      </c>
      <c r="E49" s="29">
        <v>99136</v>
      </c>
      <c r="F49" s="30">
        <v>2843.170912</v>
      </c>
      <c r="G49" s="31">
        <v>1.075428E-2</v>
      </c>
      <c r="H49" s="24" t="s">
        <v>146</v>
      </c>
    </row>
    <row r="50" spans="1:8" x14ac:dyDescent="0.2">
      <c r="A50" s="27">
        <v>44</v>
      </c>
      <c r="B50" s="28" t="s">
        <v>108</v>
      </c>
      <c r="C50" s="28" t="s">
        <v>109</v>
      </c>
      <c r="D50" s="28" t="s">
        <v>42</v>
      </c>
      <c r="E50" s="29">
        <v>181013</v>
      </c>
      <c r="F50" s="30">
        <v>2732.4817415000002</v>
      </c>
      <c r="G50" s="31">
        <v>1.03356E-2</v>
      </c>
      <c r="H50" s="24" t="s">
        <v>146</v>
      </c>
    </row>
    <row r="51" spans="1:8" x14ac:dyDescent="0.2">
      <c r="A51" s="27">
        <v>45</v>
      </c>
      <c r="B51" s="28" t="s">
        <v>289</v>
      </c>
      <c r="C51" s="28" t="s">
        <v>290</v>
      </c>
      <c r="D51" s="28" t="s">
        <v>223</v>
      </c>
      <c r="E51" s="29">
        <v>1607677</v>
      </c>
      <c r="F51" s="30">
        <v>2711.3472605000002</v>
      </c>
      <c r="G51" s="31">
        <v>1.025566E-2</v>
      </c>
      <c r="H51" s="24" t="s">
        <v>146</v>
      </c>
    </row>
    <row r="52" spans="1:8" x14ac:dyDescent="0.2">
      <c r="A52" s="27">
        <v>46</v>
      </c>
      <c r="B52" s="28" t="s">
        <v>191</v>
      </c>
      <c r="C52" s="28" t="s">
        <v>192</v>
      </c>
      <c r="D52" s="28" t="s">
        <v>39</v>
      </c>
      <c r="E52" s="29">
        <v>528822</v>
      </c>
      <c r="F52" s="30">
        <v>2660.5034820000001</v>
      </c>
      <c r="G52" s="31">
        <v>1.006334E-2</v>
      </c>
      <c r="H52" s="24" t="s">
        <v>146</v>
      </c>
    </row>
    <row r="53" spans="1:8" ht="25.5" x14ac:dyDescent="0.2">
      <c r="A53" s="27">
        <v>47</v>
      </c>
      <c r="B53" s="28" t="s">
        <v>345</v>
      </c>
      <c r="C53" s="28" t="s">
        <v>346</v>
      </c>
      <c r="D53" s="28" t="s">
        <v>198</v>
      </c>
      <c r="E53" s="29">
        <v>217943</v>
      </c>
      <c r="F53" s="30">
        <v>2653.1291105</v>
      </c>
      <c r="G53" s="31">
        <v>1.003545E-2</v>
      </c>
      <c r="H53" s="24" t="s">
        <v>146</v>
      </c>
    </row>
    <row r="54" spans="1:8" x14ac:dyDescent="0.2">
      <c r="A54" s="27">
        <v>48</v>
      </c>
      <c r="B54" s="28" t="s">
        <v>538</v>
      </c>
      <c r="C54" s="28" t="s">
        <v>539</v>
      </c>
      <c r="D54" s="28" t="s">
        <v>42</v>
      </c>
      <c r="E54" s="29">
        <v>1252490</v>
      </c>
      <c r="F54" s="30">
        <v>2570.1094800000001</v>
      </c>
      <c r="G54" s="31">
        <v>9.7214299999999997E-3</v>
      </c>
      <c r="H54" s="24" t="s">
        <v>146</v>
      </c>
    </row>
    <row r="55" spans="1:8" ht="25.5" x14ac:dyDescent="0.2">
      <c r="A55" s="27">
        <v>49</v>
      </c>
      <c r="B55" s="28" t="s">
        <v>391</v>
      </c>
      <c r="C55" s="28" t="s">
        <v>392</v>
      </c>
      <c r="D55" s="28" t="s">
        <v>198</v>
      </c>
      <c r="E55" s="29">
        <v>143101</v>
      </c>
      <c r="F55" s="30">
        <v>2524.158539</v>
      </c>
      <c r="G55" s="31">
        <v>9.5476199999999997E-3</v>
      </c>
      <c r="H55" s="24" t="s">
        <v>146</v>
      </c>
    </row>
    <row r="56" spans="1:8" x14ac:dyDescent="0.2">
      <c r="A56" s="27">
        <v>50</v>
      </c>
      <c r="B56" s="28" t="s">
        <v>738</v>
      </c>
      <c r="C56" s="28" t="s">
        <v>739</v>
      </c>
      <c r="D56" s="28" t="s">
        <v>208</v>
      </c>
      <c r="E56" s="29">
        <v>134556</v>
      </c>
      <c r="F56" s="30">
        <v>2417.8367640000001</v>
      </c>
      <c r="G56" s="31">
        <v>9.1454599999999994E-3</v>
      </c>
      <c r="H56" s="24" t="s">
        <v>146</v>
      </c>
    </row>
    <row r="57" spans="1:8" x14ac:dyDescent="0.2">
      <c r="A57" s="27">
        <v>51</v>
      </c>
      <c r="B57" s="28" t="s">
        <v>84</v>
      </c>
      <c r="C57" s="28" t="s">
        <v>85</v>
      </c>
      <c r="D57" s="28" t="s">
        <v>42</v>
      </c>
      <c r="E57" s="29">
        <v>261978</v>
      </c>
      <c r="F57" s="30">
        <v>2366.8402409999999</v>
      </c>
      <c r="G57" s="31">
        <v>8.95256E-3</v>
      </c>
      <c r="H57" s="24" t="s">
        <v>146</v>
      </c>
    </row>
    <row r="58" spans="1:8" ht="25.5" x14ac:dyDescent="0.2">
      <c r="A58" s="27">
        <v>52</v>
      </c>
      <c r="B58" s="28" t="s">
        <v>465</v>
      </c>
      <c r="C58" s="28" t="s">
        <v>466</v>
      </c>
      <c r="D58" s="28" t="s">
        <v>190</v>
      </c>
      <c r="E58" s="29">
        <v>278717</v>
      </c>
      <c r="F58" s="30">
        <v>2285.200683</v>
      </c>
      <c r="G58" s="31">
        <v>8.6437600000000003E-3</v>
      </c>
      <c r="H58" s="24" t="s">
        <v>146</v>
      </c>
    </row>
    <row r="59" spans="1:8" x14ac:dyDescent="0.2">
      <c r="A59" s="27">
        <v>53</v>
      </c>
      <c r="B59" s="28" t="s">
        <v>224</v>
      </c>
      <c r="C59" s="28" t="s">
        <v>225</v>
      </c>
      <c r="D59" s="28" t="s">
        <v>226</v>
      </c>
      <c r="E59" s="29">
        <v>105063</v>
      </c>
      <c r="F59" s="30">
        <v>2254.6519800000001</v>
      </c>
      <c r="G59" s="31">
        <v>8.5282099999999996E-3</v>
      </c>
      <c r="H59" s="24" t="s">
        <v>146</v>
      </c>
    </row>
    <row r="60" spans="1:8" x14ac:dyDescent="0.2">
      <c r="A60" s="27">
        <v>54</v>
      </c>
      <c r="B60" s="28" t="s">
        <v>261</v>
      </c>
      <c r="C60" s="28" t="s">
        <v>262</v>
      </c>
      <c r="D60" s="28" t="s">
        <v>83</v>
      </c>
      <c r="E60" s="29">
        <v>183385</v>
      </c>
      <c r="F60" s="30">
        <v>2244.7240925000001</v>
      </c>
      <c r="G60" s="31">
        <v>8.4906600000000006E-3</v>
      </c>
      <c r="H60" s="24" t="s">
        <v>146</v>
      </c>
    </row>
    <row r="61" spans="1:8" x14ac:dyDescent="0.2">
      <c r="A61" s="27">
        <v>55</v>
      </c>
      <c r="B61" s="28" t="s">
        <v>114</v>
      </c>
      <c r="C61" s="28" t="s">
        <v>115</v>
      </c>
      <c r="D61" s="28" t="s">
        <v>83</v>
      </c>
      <c r="E61" s="29">
        <v>64194</v>
      </c>
      <c r="F61" s="30">
        <v>2199.1580520000002</v>
      </c>
      <c r="G61" s="31">
        <v>8.3183100000000006E-3</v>
      </c>
      <c r="H61" s="24" t="s">
        <v>146</v>
      </c>
    </row>
    <row r="62" spans="1:8" ht="25.5" x14ac:dyDescent="0.2">
      <c r="A62" s="27">
        <v>56</v>
      </c>
      <c r="B62" s="28" t="s">
        <v>285</v>
      </c>
      <c r="C62" s="28" t="s">
        <v>286</v>
      </c>
      <c r="D62" s="28" t="s">
        <v>190</v>
      </c>
      <c r="E62" s="29">
        <v>62427</v>
      </c>
      <c r="F62" s="30">
        <v>2174.8006125000002</v>
      </c>
      <c r="G62" s="31">
        <v>8.2261699999999997E-3</v>
      </c>
      <c r="H62" s="24" t="s">
        <v>146</v>
      </c>
    </row>
    <row r="63" spans="1:8" x14ac:dyDescent="0.2">
      <c r="A63" s="27">
        <v>57</v>
      </c>
      <c r="B63" s="28" t="s">
        <v>536</v>
      </c>
      <c r="C63" s="28" t="s">
        <v>537</v>
      </c>
      <c r="D63" s="28" t="s">
        <v>83</v>
      </c>
      <c r="E63" s="29">
        <v>208295</v>
      </c>
      <c r="F63" s="30">
        <v>2155.1242175000002</v>
      </c>
      <c r="G63" s="31">
        <v>8.1517499999999993E-3</v>
      </c>
      <c r="H63" s="24" t="s">
        <v>146</v>
      </c>
    </row>
    <row r="64" spans="1:8" x14ac:dyDescent="0.2">
      <c r="A64" s="27">
        <v>58</v>
      </c>
      <c r="B64" s="28" t="s">
        <v>227</v>
      </c>
      <c r="C64" s="28" t="s">
        <v>228</v>
      </c>
      <c r="D64" s="28" t="s">
        <v>83</v>
      </c>
      <c r="E64" s="29">
        <v>278372</v>
      </c>
      <c r="F64" s="30">
        <v>1217.3207560000001</v>
      </c>
      <c r="G64" s="31">
        <v>4.60451E-3</v>
      </c>
      <c r="H64" s="24" t="s">
        <v>146</v>
      </c>
    </row>
    <row r="65" spans="1:8" x14ac:dyDescent="0.2">
      <c r="A65" s="27">
        <v>59</v>
      </c>
      <c r="B65" s="28" t="s">
        <v>528</v>
      </c>
      <c r="C65" s="28" t="s">
        <v>529</v>
      </c>
      <c r="D65" s="28" t="s">
        <v>275</v>
      </c>
      <c r="E65" s="29">
        <v>10587</v>
      </c>
      <c r="F65" s="30">
        <v>936.71658600000001</v>
      </c>
      <c r="G65" s="31">
        <v>3.5431299999999998E-3</v>
      </c>
      <c r="H65" s="24" t="s">
        <v>146</v>
      </c>
    </row>
    <row r="66" spans="1:8" x14ac:dyDescent="0.2">
      <c r="A66" s="27">
        <v>60</v>
      </c>
      <c r="B66" s="28" t="s">
        <v>483</v>
      </c>
      <c r="C66" s="28" t="s">
        <v>484</v>
      </c>
      <c r="D66" s="28" t="s">
        <v>485</v>
      </c>
      <c r="E66" s="29">
        <v>189630</v>
      </c>
      <c r="F66" s="30">
        <v>893.91582000000005</v>
      </c>
      <c r="G66" s="31">
        <v>3.3812299999999998E-3</v>
      </c>
      <c r="H66" s="24" t="s">
        <v>146</v>
      </c>
    </row>
    <row r="67" spans="1:8" x14ac:dyDescent="0.2">
      <c r="A67" s="27">
        <v>61</v>
      </c>
      <c r="B67" s="28" t="s">
        <v>267</v>
      </c>
      <c r="C67" s="28" t="s">
        <v>268</v>
      </c>
      <c r="D67" s="28" t="s">
        <v>120</v>
      </c>
      <c r="E67" s="29">
        <v>156043</v>
      </c>
      <c r="F67" s="30">
        <v>659.28167499999995</v>
      </c>
      <c r="G67" s="31">
        <v>2.49373E-3</v>
      </c>
      <c r="H67" s="24" t="s">
        <v>146</v>
      </c>
    </row>
    <row r="68" spans="1:8" x14ac:dyDescent="0.2">
      <c r="A68" s="27">
        <v>62</v>
      </c>
      <c r="B68" s="28" t="s">
        <v>490</v>
      </c>
      <c r="C68" s="28" t="s">
        <v>491</v>
      </c>
      <c r="D68" s="28" t="s">
        <v>492</v>
      </c>
      <c r="E68" s="29">
        <v>94402</v>
      </c>
      <c r="F68" s="30">
        <v>549.08923300000004</v>
      </c>
      <c r="G68" s="31">
        <v>2.0769299999999998E-3</v>
      </c>
      <c r="H68" s="24" t="s">
        <v>146</v>
      </c>
    </row>
    <row r="69" spans="1:8" x14ac:dyDescent="0.2">
      <c r="A69" s="27">
        <v>63</v>
      </c>
      <c r="B69" s="28" t="s">
        <v>203</v>
      </c>
      <c r="C69" s="28" t="s">
        <v>204</v>
      </c>
      <c r="D69" s="28" t="s">
        <v>205</v>
      </c>
      <c r="E69" s="29">
        <v>4772</v>
      </c>
      <c r="F69" s="30">
        <v>274.54270400000001</v>
      </c>
      <c r="G69" s="31">
        <v>1.0384599999999999E-3</v>
      </c>
      <c r="H69" s="24" t="s">
        <v>146</v>
      </c>
    </row>
    <row r="70" spans="1:8" ht="25.5" x14ac:dyDescent="0.2">
      <c r="A70" s="27">
        <v>64</v>
      </c>
      <c r="B70" s="28" t="s">
        <v>213</v>
      </c>
      <c r="C70" s="28" t="s">
        <v>214</v>
      </c>
      <c r="D70" s="28" t="s">
        <v>215</v>
      </c>
      <c r="E70" s="29">
        <v>8380</v>
      </c>
      <c r="F70" s="30">
        <v>144.70583999999999</v>
      </c>
      <c r="G70" s="31">
        <v>5.4735000000000005E-4</v>
      </c>
      <c r="H70" s="24" t="s">
        <v>146</v>
      </c>
    </row>
    <row r="71" spans="1:8" x14ac:dyDescent="0.2">
      <c r="A71" s="27">
        <v>65</v>
      </c>
      <c r="B71" s="28" t="s">
        <v>67</v>
      </c>
      <c r="C71" s="28" t="s">
        <v>68</v>
      </c>
      <c r="D71" s="28" t="s">
        <v>42</v>
      </c>
      <c r="E71" s="29">
        <v>19943</v>
      </c>
      <c r="F71" s="30">
        <v>140.10954649999999</v>
      </c>
      <c r="G71" s="31">
        <v>5.2996E-4</v>
      </c>
      <c r="H71" s="24" t="s">
        <v>146</v>
      </c>
    </row>
    <row r="72" spans="1:8" x14ac:dyDescent="0.2">
      <c r="A72" s="27">
        <v>68</v>
      </c>
      <c r="B72" s="28" t="s">
        <v>323</v>
      </c>
      <c r="C72" s="28" t="s">
        <v>324</v>
      </c>
      <c r="D72" s="28" t="s">
        <v>39</v>
      </c>
      <c r="E72" s="29">
        <v>7036</v>
      </c>
      <c r="F72" s="30">
        <v>16.400915999999999</v>
      </c>
      <c r="G72" s="31">
        <v>6.2039999999999996E-5</v>
      </c>
      <c r="H72" s="24" t="s">
        <v>146</v>
      </c>
    </row>
    <row r="73" spans="1:8" x14ac:dyDescent="0.2">
      <c r="A73" s="25"/>
      <c r="B73" s="25"/>
      <c r="C73" s="26" t="s">
        <v>145</v>
      </c>
      <c r="D73" s="25"/>
      <c r="E73" s="25" t="s">
        <v>146</v>
      </c>
      <c r="F73" s="32">
        <f>SUM(F7:F72)</f>
        <v>249022.07673850007</v>
      </c>
      <c r="G73" s="33">
        <f>SUM(G7:G72)</f>
        <v>0.94192485999999986</v>
      </c>
      <c r="H73" s="24" t="s">
        <v>146</v>
      </c>
    </row>
    <row r="74" spans="1:8" x14ac:dyDescent="0.2">
      <c r="A74" s="25"/>
      <c r="B74" s="25"/>
      <c r="C74" s="34"/>
      <c r="D74" s="25"/>
      <c r="E74" s="25"/>
      <c r="F74" s="35"/>
      <c r="G74" s="35"/>
      <c r="H74" s="24" t="s">
        <v>146</v>
      </c>
    </row>
    <row r="75" spans="1:8" x14ac:dyDescent="0.2">
      <c r="A75" s="25"/>
      <c r="B75" s="25"/>
      <c r="C75" s="26" t="s">
        <v>147</v>
      </c>
      <c r="D75" s="25"/>
      <c r="E75" s="25"/>
      <c r="F75" s="25"/>
      <c r="G75" s="25"/>
      <c r="H75" s="24" t="s">
        <v>146</v>
      </c>
    </row>
    <row r="76" spans="1:8" x14ac:dyDescent="0.2">
      <c r="A76" s="25"/>
      <c r="B76" s="25"/>
      <c r="C76" s="26" t="s">
        <v>145</v>
      </c>
      <c r="D76" s="25"/>
      <c r="E76" s="25" t="s">
        <v>146</v>
      </c>
      <c r="F76" s="36" t="s">
        <v>148</v>
      </c>
      <c r="G76" s="33">
        <v>0</v>
      </c>
      <c r="H76" s="24" t="s">
        <v>146</v>
      </c>
    </row>
    <row r="77" spans="1:8" x14ac:dyDescent="0.2">
      <c r="A77" s="25"/>
      <c r="B77" s="25"/>
      <c r="C77" s="34"/>
      <c r="D77" s="25"/>
      <c r="E77" s="25"/>
      <c r="F77" s="35"/>
      <c r="G77" s="35"/>
      <c r="H77" s="24" t="s">
        <v>146</v>
      </c>
    </row>
    <row r="78" spans="1:8" x14ac:dyDescent="0.2">
      <c r="A78" s="25"/>
      <c r="B78" s="25"/>
      <c r="C78" s="26" t="s">
        <v>149</v>
      </c>
      <c r="D78" s="25"/>
      <c r="E78" s="25"/>
      <c r="F78" s="25"/>
      <c r="G78" s="25"/>
      <c r="H78" s="24" t="s">
        <v>146</v>
      </c>
    </row>
    <row r="79" spans="1:8" x14ac:dyDescent="0.2">
      <c r="A79" s="27">
        <v>1</v>
      </c>
      <c r="B79" s="28" t="s">
        <v>540</v>
      </c>
      <c r="C79" s="28" t="s">
        <v>995</v>
      </c>
      <c r="D79" s="28" t="s">
        <v>223</v>
      </c>
      <c r="E79" s="29">
        <v>511578</v>
      </c>
      <c r="F79" s="30">
        <v>89.679623399999997</v>
      </c>
      <c r="G79" s="31">
        <v>3.3921E-4</v>
      </c>
      <c r="H79" s="24" t="s">
        <v>146</v>
      </c>
    </row>
    <row r="80" spans="1:8" x14ac:dyDescent="0.2">
      <c r="A80" s="27">
        <v>2</v>
      </c>
      <c r="B80" s="28" t="s">
        <v>740</v>
      </c>
      <c r="C80" s="28" t="s">
        <v>996</v>
      </c>
      <c r="D80" s="28" t="s">
        <v>233</v>
      </c>
      <c r="E80" s="29">
        <v>39500</v>
      </c>
      <c r="F80" s="30">
        <v>21.764500000000002</v>
      </c>
      <c r="G80" s="31">
        <v>8.2319999999999998E-5</v>
      </c>
      <c r="H80" s="24" t="s">
        <v>146</v>
      </c>
    </row>
    <row r="81" spans="1:8" x14ac:dyDescent="0.2">
      <c r="A81" s="27">
        <v>3</v>
      </c>
      <c r="B81" s="28" t="s">
        <v>743</v>
      </c>
      <c r="C81" s="28" t="s">
        <v>997</v>
      </c>
      <c r="D81" s="28"/>
      <c r="E81" s="29">
        <v>54000</v>
      </c>
      <c r="F81" s="30">
        <v>5.4000000000000002E-7</v>
      </c>
      <c r="G81" s="38" t="s">
        <v>144</v>
      </c>
      <c r="H81" s="24" t="s">
        <v>146</v>
      </c>
    </row>
    <row r="82" spans="1:8" x14ac:dyDescent="0.2">
      <c r="A82" s="27">
        <v>4</v>
      </c>
      <c r="B82" s="28" t="s">
        <v>744</v>
      </c>
      <c r="C82" s="28" t="s">
        <v>998</v>
      </c>
      <c r="D82" s="28"/>
      <c r="E82" s="29">
        <v>200</v>
      </c>
      <c r="F82" s="30">
        <v>2.0000000000000001E-9</v>
      </c>
      <c r="G82" s="38" t="s">
        <v>144</v>
      </c>
      <c r="H82" s="24" t="s">
        <v>146</v>
      </c>
    </row>
    <row r="83" spans="1:8" x14ac:dyDescent="0.2">
      <c r="A83" s="27">
        <v>5</v>
      </c>
      <c r="B83" s="28" t="s">
        <v>745</v>
      </c>
      <c r="C83" s="28" t="s">
        <v>999</v>
      </c>
      <c r="D83" s="28"/>
      <c r="E83" s="29">
        <v>176305</v>
      </c>
      <c r="F83" s="30">
        <v>1.7630000000000001E-6</v>
      </c>
      <c r="G83" s="38" t="s">
        <v>144</v>
      </c>
      <c r="H83" s="24" t="s">
        <v>146</v>
      </c>
    </row>
    <row r="84" spans="1:8" x14ac:dyDescent="0.2">
      <c r="A84" s="27">
        <v>6</v>
      </c>
      <c r="B84" s="28" t="s">
        <v>748</v>
      </c>
      <c r="C84" s="28" t="s">
        <v>1000</v>
      </c>
      <c r="D84" s="28"/>
      <c r="E84" s="29">
        <v>93200</v>
      </c>
      <c r="F84" s="30">
        <v>9.3200000000000003E-7</v>
      </c>
      <c r="G84" s="38" t="s">
        <v>144</v>
      </c>
      <c r="H84" s="24" t="s">
        <v>146</v>
      </c>
    </row>
    <row r="85" spans="1:8" ht="25.5" x14ac:dyDescent="0.2">
      <c r="A85" s="27">
        <v>7</v>
      </c>
      <c r="B85" s="28" t="s">
        <v>741</v>
      </c>
      <c r="C85" s="28" t="s">
        <v>1001</v>
      </c>
      <c r="D85" s="28" t="s">
        <v>742</v>
      </c>
      <c r="E85" s="29">
        <v>200000</v>
      </c>
      <c r="F85" s="30">
        <v>1.9999999999999999E-6</v>
      </c>
      <c r="G85" s="38" t="s">
        <v>144</v>
      </c>
      <c r="H85" s="24" t="s">
        <v>146</v>
      </c>
    </row>
    <row r="86" spans="1:8" ht="25.5" x14ac:dyDescent="0.2">
      <c r="A86" s="27">
        <v>8</v>
      </c>
      <c r="B86" s="28" t="s">
        <v>746</v>
      </c>
      <c r="C86" s="28" t="s">
        <v>1002</v>
      </c>
      <c r="D86" s="28" t="s">
        <v>747</v>
      </c>
      <c r="E86" s="29">
        <v>50800</v>
      </c>
      <c r="F86" s="30">
        <v>5.0800000000000005E-7</v>
      </c>
      <c r="G86" s="38" t="s">
        <v>144</v>
      </c>
      <c r="H86" s="24" t="s">
        <v>146</v>
      </c>
    </row>
    <row r="87" spans="1:8" x14ac:dyDescent="0.2">
      <c r="A87" s="25"/>
      <c r="B87" s="25"/>
      <c r="C87" s="26" t="s">
        <v>145</v>
      </c>
      <c r="D87" s="25"/>
      <c r="E87" s="25" t="s">
        <v>146</v>
      </c>
      <c r="F87" s="32">
        <f>SUM(F79:F86)</f>
        <v>111.44412914499999</v>
      </c>
      <c r="G87" s="33">
        <f>SUM(G79:G86)</f>
        <v>4.2152999999999998E-4</v>
      </c>
      <c r="H87" s="24" t="s">
        <v>146</v>
      </c>
    </row>
    <row r="88" spans="1:8" x14ac:dyDescent="0.2">
      <c r="A88" s="25"/>
      <c r="B88" s="25"/>
      <c r="C88" s="34"/>
      <c r="D88" s="25"/>
      <c r="E88" s="25"/>
      <c r="F88" s="35"/>
      <c r="G88" s="35"/>
      <c r="H88" s="24" t="s">
        <v>146</v>
      </c>
    </row>
    <row r="89" spans="1:8" x14ac:dyDescent="0.2">
      <c r="A89" s="25"/>
      <c r="B89" s="25"/>
      <c r="C89" s="26" t="s">
        <v>150</v>
      </c>
      <c r="D89" s="25"/>
      <c r="E89" s="25"/>
      <c r="F89" s="25"/>
      <c r="G89" s="25"/>
      <c r="H89" s="24" t="s">
        <v>146</v>
      </c>
    </row>
    <row r="90" spans="1:8" x14ac:dyDescent="0.2">
      <c r="A90" s="25"/>
      <c r="B90" s="25"/>
      <c r="C90" s="26" t="s">
        <v>145</v>
      </c>
      <c r="D90" s="25"/>
      <c r="E90" s="25" t="s">
        <v>146</v>
      </c>
      <c r="F90" s="36" t="s">
        <v>148</v>
      </c>
      <c r="G90" s="33">
        <v>0</v>
      </c>
      <c r="H90" s="24" t="s">
        <v>146</v>
      </c>
    </row>
    <row r="91" spans="1:8" x14ac:dyDescent="0.2">
      <c r="A91" s="25"/>
      <c r="B91" s="25"/>
      <c r="C91" s="34"/>
      <c r="D91" s="25"/>
      <c r="E91" s="25"/>
      <c r="F91" s="35"/>
      <c r="G91" s="35"/>
      <c r="H91" s="24" t="s">
        <v>146</v>
      </c>
    </row>
    <row r="92" spans="1:8" x14ac:dyDescent="0.2">
      <c r="A92" s="25"/>
      <c r="B92" s="25"/>
      <c r="C92" s="26" t="s">
        <v>151</v>
      </c>
      <c r="D92" s="25"/>
      <c r="E92" s="25"/>
      <c r="F92" s="35"/>
      <c r="G92" s="35"/>
      <c r="H92" s="24" t="s">
        <v>146</v>
      </c>
    </row>
    <row r="93" spans="1:8" x14ac:dyDescent="0.2">
      <c r="A93" s="25"/>
      <c r="B93" s="25"/>
      <c r="C93" s="26" t="s">
        <v>145</v>
      </c>
      <c r="D93" s="25"/>
      <c r="E93" s="25" t="s">
        <v>146</v>
      </c>
      <c r="F93" s="36" t="s">
        <v>148</v>
      </c>
      <c r="G93" s="33">
        <v>0</v>
      </c>
      <c r="H93" s="24" t="s">
        <v>146</v>
      </c>
    </row>
    <row r="94" spans="1:8" x14ac:dyDescent="0.2">
      <c r="A94" s="25"/>
      <c r="B94" s="25"/>
      <c r="C94" s="34"/>
      <c r="D94" s="25"/>
      <c r="E94" s="25"/>
      <c r="F94" s="35"/>
      <c r="G94" s="35"/>
      <c r="H94" s="24" t="s">
        <v>146</v>
      </c>
    </row>
    <row r="95" spans="1:8" x14ac:dyDescent="0.2">
      <c r="A95" s="25"/>
      <c r="B95" s="25"/>
      <c r="C95" s="26" t="s">
        <v>152</v>
      </c>
      <c r="D95" s="25"/>
      <c r="E95" s="25"/>
      <c r="F95" s="35"/>
      <c r="G95" s="35"/>
      <c r="H95" s="24" t="s">
        <v>146</v>
      </c>
    </row>
    <row r="96" spans="1:8" x14ac:dyDescent="0.2">
      <c r="A96" s="25"/>
      <c r="B96" s="25"/>
      <c r="C96" s="26" t="s">
        <v>145</v>
      </c>
      <c r="D96" s="25"/>
      <c r="E96" s="25" t="s">
        <v>146</v>
      </c>
      <c r="F96" s="36" t="s">
        <v>148</v>
      </c>
      <c r="G96" s="33">
        <v>0</v>
      </c>
      <c r="H96" s="24" t="s">
        <v>146</v>
      </c>
    </row>
    <row r="97" spans="1:8" x14ac:dyDescent="0.2">
      <c r="A97" s="25"/>
      <c r="B97" s="25"/>
      <c r="C97" s="34"/>
      <c r="D97" s="25"/>
      <c r="E97" s="25"/>
      <c r="F97" s="35"/>
      <c r="G97" s="35"/>
      <c r="H97" s="24" t="s">
        <v>146</v>
      </c>
    </row>
    <row r="98" spans="1:8" x14ac:dyDescent="0.2">
      <c r="A98" s="25"/>
      <c r="B98" s="25"/>
      <c r="C98" s="26" t="s">
        <v>153</v>
      </c>
      <c r="D98" s="25"/>
      <c r="E98" s="25"/>
      <c r="F98" s="32">
        <v>249133.52086764501</v>
      </c>
      <c r="G98" s="33">
        <v>0.94234638999999998</v>
      </c>
      <c r="H98" s="24" t="s">
        <v>146</v>
      </c>
    </row>
    <row r="99" spans="1:8" x14ac:dyDescent="0.2">
      <c r="A99" s="25"/>
      <c r="B99" s="25"/>
      <c r="C99" s="34"/>
      <c r="D99" s="25"/>
      <c r="E99" s="25"/>
      <c r="F99" s="35"/>
      <c r="G99" s="35"/>
      <c r="H99" s="24" t="s">
        <v>146</v>
      </c>
    </row>
    <row r="100" spans="1:8" x14ac:dyDescent="0.2">
      <c r="A100" s="25"/>
      <c r="B100" s="25"/>
      <c r="C100" s="26" t="s">
        <v>154</v>
      </c>
      <c r="D100" s="25"/>
      <c r="E100" s="25"/>
      <c r="F100" s="35"/>
      <c r="G100" s="35"/>
      <c r="H100" s="24" t="s">
        <v>146</v>
      </c>
    </row>
    <row r="101" spans="1:8" x14ac:dyDescent="0.2">
      <c r="A101" s="25"/>
      <c r="B101" s="25"/>
      <c r="C101" s="26" t="s">
        <v>10</v>
      </c>
      <c r="D101" s="25"/>
      <c r="E101" s="25"/>
      <c r="F101" s="35"/>
      <c r="G101" s="35"/>
      <c r="H101" s="24" t="s">
        <v>146</v>
      </c>
    </row>
    <row r="102" spans="1:8" x14ac:dyDescent="0.2">
      <c r="A102" s="25"/>
      <c r="B102" s="25"/>
      <c r="C102" s="26" t="s">
        <v>145</v>
      </c>
      <c r="D102" s="25"/>
      <c r="E102" s="25" t="s">
        <v>146</v>
      </c>
      <c r="F102" s="36" t="s">
        <v>148</v>
      </c>
      <c r="G102" s="33">
        <v>0</v>
      </c>
      <c r="H102" s="24" t="s">
        <v>146</v>
      </c>
    </row>
    <row r="103" spans="1:8" x14ac:dyDescent="0.2">
      <c r="A103" s="25"/>
      <c r="B103" s="25"/>
      <c r="C103" s="34"/>
      <c r="D103" s="25"/>
      <c r="E103" s="25"/>
      <c r="F103" s="35"/>
      <c r="G103" s="35"/>
      <c r="H103" s="24" t="s">
        <v>146</v>
      </c>
    </row>
    <row r="104" spans="1:8" x14ac:dyDescent="0.2">
      <c r="A104" s="25"/>
      <c r="B104" s="25"/>
      <c r="C104" s="26" t="s">
        <v>155</v>
      </c>
      <c r="D104" s="25"/>
      <c r="E104" s="25"/>
      <c r="F104" s="25"/>
      <c r="G104" s="25"/>
      <c r="H104" s="24" t="s">
        <v>146</v>
      </c>
    </row>
    <row r="105" spans="1:8" x14ac:dyDescent="0.2">
      <c r="A105" s="25"/>
      <c r="B105" s="25"/>
      <c r="C105" s="26" t="s">
        <v>145</v>
      </c>
      <c r="D105" s="25"/>
      <c r="E105" s="25" t="s">
        <v>146</v>
      </c>
      <c r="F105" s="36" t="s">
        <v>148</v>
      </c>
      <c r="G105" s="33">
        <v>0</v>
      </c>
      <c r="H105" s="24" t="s">
        <v>146</v>
      </c>
    </row>
    <row r="106" spans="1:8" x14ac:dyDescent="0.2">
      <c r="A106" s="25"/>
      <c r="B106" s="25"/>
      <c r="C106" s="34"/>
      <c r="D106" s="25"/>
      <c r="E106" s="25"/>
      <c r="F106" s="35"/>
      <c r="G106" s="35"/>
      <c r="H106" s="24" t="s">
        <v>146</v>
      </c>
    </row>
    <row r="107" spans="1:8" x14ac:dyDescent="0.2">
      <c r="A107" s="25"/>
      <c r="B107" s="25"/>
      <c r="C107" s="26" t="s">
        <v>156</v>
      </c>
      <c r="D107" s="25"/>
      <c r="E107" s="25"/>
      <c r="F107" s="25"/>
      <c r="G107" s="25"/>
      <c r="H107" s="24" t="s">
        <v>146</v>
      </c>
    </row>
    <row r="108" spans="1:8" x14ac:dyDescent="0.2">
      <c r="A108" s="25"/>
      <c r="B108" s="25"/>
      <c r="C108" s="26" t="s">
        <v>145</v>
      </c>
      <c r="D108" s="25"/>
      <c r="E108" s="25" t="s">
        <v>146</v>
      </c>
      <c r="F108" s="36" t="s">
        <v>148</v>
      </c>
      <c r="G108" s="33">
        <v>0</v>
      </c>
      <c r="H108" s="24" t="s">
        <v>146</v>
      </c>
    </row>
    <row r="109" spans="1:8" x14ac:dyDescent="0.2">
      <c r="A109" s="25"/>
      <c r="B109" s="25"/>
      <c r="C109" s="34"/>
      <c r="D109" s="25"/>
      <c r="E109" s="25"/>
      <c r="F109" s="35"/>
      <c r="G109" s="35"/>
      <c r="H109" s="24" t="s">
        <v>146</v>
      </c>
    </row>
    <row r="110" spans="1:8" x14ac:dyDescent="0.2">
      <c r="A110" s="25"/>
      <c r="B110" s="25"/>
      <c r="C110" s="26" t="s">
        <v>157</v>
      </c>
      <c r="D110" s="25"/>
      <c r="E110" s="25"/>
      <c r="F110" s="35"/>
      <c r="G110" s="35"/>
      <c r="H110" s="24" t="s">
        <v>146</v>
      </c>
    </row>
    <row r="111" spans="1:8" x14ac:dyDescent="0.2">
      <c r="A111" s="25"/>
      <c r="B111" s="25"/>
      <c r="C111" s="26" t="s">
        <v>145</v>
      </c>
      <c r="D111" s="25"/>
      <c r="E111" s="25" t="s">
        <v>146</v>
      </c>
      <c r="F111" s="36" t="s">
        <v>148</v>
      </c>
      <c r="G111" s="33">
        <v>0</v>
      </c>
      <c r="H111" s="24" t="s">
        <v>146</v>
      </c>
    </row>
    <row r="112" spans="1:8" x14ac:dyDescent="0.2">
      <c r="A112" s="25"/>
      <c r="B112" s="25"/>
      <c r="C112" s="34"/>
      <c r="D112" s="25"/>
      <c r="E112" s="25"/>
      <c r="F112" s="35"/>
      <c r="G112" s="35"/>
      <c r="H112" s="24" t="s">
        <v>146</v>
      </c>
    </row>
    <row r="113" spans="1:8" x14ac:dyDescent="0.2">
      <c r="A113" s="25"/>
      <c r="B113" s="25"/>
      <c r="C113" s="26" t="s">
        <v>158</v>
      </c>
      <c r="D113" s="25"/>
      <c r="E113" s="25"/>
      <c r="F113" s="32">
        <v>0</v>
      </c>
      <c r="G113" s="33">
        <v>0</v>
      </c>
      <c r="H113" s="24" t="s">
        <v>146</v>
      </c>
    </row>
    <row r="114" spans="1:8" x14ac:dyDescent="0.2">
      <c r="A114" s="25"/>
      <c r="B114" s="25"/>
      <c r="C114" s="34"/>
      <c r="D114" s="25"/>
      <c r="E114" s="25"/>
      <c r="F114" s="35"/>
      <c r="G114" s="35"/>
      <c r="H114" s="24" t="s">
        <v>146</v>
      </c>
    </row>
    <row r="115" spans="1:8" x14ac:dyDescent="0.2">
      <c r="A115" s="25"/>
      <c r="B115" s="25"/>
      <c r="C115" s="26" t="s">
        <v>159</v>
      </c>
      <c r="D115" s="25"/>
      <c r="E115" s="25"/>
      <c r="F115" s="35"/>
      <c r="G115" s="35"/>
      <c r="H115" s="24" t="s">
        <v>146</v>
      </c>
    </row>
    <row r="116" spans="1:8" x14ac:dyDescent="0.2">
      <c r="A116" s="25"/>
      <c r="B116" s="25"/>
      <c r="C116" s="26" t="s">
        <v>160</v>
      </c>
      <c r="D116" s="25"/>
      <c r="E116" s="25"/>
      <c r="F116" s="35"/>
      <c r="G116" s="35"/>
      <c r="H116" s="24" t="s">
        <v>146</v>
      </c>
    </row>
    <row r="117" spans="1:8" x14ac:dyDescent="0.2">
      <c r="A117" s="25"/>
      <c r="B117" s="25"/>
      <c r="C117" s="26" t="s">
        <v>145</v>
      </c>
      <c r="D117" s="25"/>
      <c r="E117" s="25" t="s">
        <v>146</v>
      </c>
      <c r="F117" s="36" t="s">
        <v>148</v>
      </c>
      <c r="G117" s="33">
        <v>0</v>
      </c>
      <c r="H117" s="24" t="s">
        <v>146</v>
      </c>
    </row>
    <row r="118" spans="1:8" x14ac:dyDescent="0.2">
      <c r="A118" s="25"/>
      <c r="B118" s="25"/>
      <c r="C118" s="34"/>
      <c r="D118" s="25"/>
      <c r="E118" s="25"/>
      <c r="F118" s="35"/>
      <c r="G118" s="35"/>
      <c r="H118" s="24" t="s">
        <v>146</v>
      </c>
    </row>
    <row r="119" spans="1:8" x14ac:dyDescent="0.2">
      <c r="A119" s="25"/>
      <c r="B119" s="25"/>
      <c r="C119" s="26" t="s">
        <v>161</v>
      </c>
      <c r="D119" s="25"/>
      <c r="E119" s="25"/>
      <c r="F119" s="35"/>
      <c r="G119" s="35"/>
      <c r="H119" s="24" t="s">
        <v>146</v>
      </c>
    </row>
    <row r="120" spans="1:8" x14ac:dyDescent="0.2">
      <c r="A120" s="25"/>
      <c r="B120" s="25"/>
      <c r="C120" s="26" t="s">
        <v>145</v>
      </c>
      <c r="D120" s="25"/>
      <c r="E120" s="25" t="s">
        <v>146</v>
      </c>
      <c r="F120" s="36" t="s">
        <v>148</v>
      </c>
      <c r="G120" s="33">
        <v>0</v>
      </c>
      <c r="H120" s="24" t="s">
        <v>146</v>
      </c>
    </row>
    <row r="121" spans="1:8" x14ac:dyDescent="0.2">
      <c r="A121" s="25"/>
      <c r="B121" s="25"/>
      <c r="C121" s="34"/>
      <c r="D121" s="25"/>
      <c r="E121" s="25"/>
      <c r="F121" s="35"/>
      <c r="G121" s="35"/>
      <c r="H121" s="24" t="s">
        <v>146</v>
      </c>
    </row>
    <row r="122" spans="1:8" x14ac:dyDescent="0.2">
      <c r="A122" s="25"/>
      <c r="B122" s="25"/>
      <c r="C122" s="26" t="s">
        <v>162</v>
      </c>
      <c r="D122" s="25"/>
      <c r="E122" s="25"/>
      <c r="F122" s="35"/>
      <c r="G122" s="35"/>
      <c r="H122" s="24" t="s">
        <v>146</v>
      </c>
    </row>
    <row r="123" spans="1:8" x14ac:dyDescent="0.2">
      <c r="A123" s="25"/>
      <c r="B123" s="25"/>
      <c r="C123" s="26" t="s">
        <v>145</v>
      </c>
      <c r="D123" s="25"/>
      <c r="E123" s="25" t="s">
        <v>146</v>
      </c>
      <c r="F123" s="36" t="s">
        <v>148</v>
      </c>
      <c r="G123" s="33">
        <v>0</v>
      </c>
      <c r="H123" s="24" t="s">
        <v>146</v>
      </c>
    </row>
    <row r="124" spans="1:8" x14ac:dyDescent="0.2">
      <c r="A124" s="25"/>
      <c r="B124" s="25"/>
      <c r="C124" s="34"/>
      <c r="D124" s="25"/>
      <c r="E124" s="25"/>
      <c r="F124" s="35"/>
      <c r="G124" s="35"/>
      <c r="H124" s="24" t="s">
        <v>146</v>
      </c>
    </row>
    <row r="125" spans="1:8" x14ac:dyDescent="0.2">
      <c r="A125" s="25"/>
      <c r="B125" s="25"/>
      <c r="C125" s="26" t="s">
        <v>163</v>
      </c>
      <c r="D125" s="25"/>
      <c r="E125" s="25"/>
      <c r="F125" s="35"/>
      <c r="G125" s="35"/>
      <c r="H125" s="24" t="s">
        <v>146</v>
      </c>
    </row>
    <row r="126" spans="1:8" x14ac:dyDescent="0.2">
      <c r="A126" s="27">
        <v>1</v>
      </c>
      <c r="B126" s="28"/>
      <c r="C126" s="28" t="s">
        <v>164</v>
      </c>
      <c r="D126" s="28"/>
      <c r="E126" s="38"/>
      <c r="F126" s="30">
        <v>13034.466891619</v>
      </c>
      <c r="G126" s="31">
        <v>4.9302810000000002E-2</v>
      </c>
      <c r="H126" s="24">
        <v>6.57</v>
      </c>
    </row>
    <row r="127" spans="1:8" x14ac:dyDescent="0.2">
      <c r="A127" s="25"/>
      <c r="B127" s="25"/>
      <c r="C127" s="26" t="s">
        <v>145</v>
      </c>
      <c r="D127" s="25"/>
      <c r="E127" s="25" t="s">
        <v>146</v>
      </c>
      <c r="F127" s="32">
        <v>13034.466891619</v>
      </c>
      <c r="G127" s="33">
        <v>4.9302810000000002E-2</v>
      </c>
      <c r="H127" s="24" t="s">
        <v>146</v>
      </c>
    </row>
    <row r="128" spans="1:8" x14ac:dyDescent="0.2">
      <c r="A128" s="25"/>
      <c r="B128" s="25"/>
      <c r="C128" s="34"/>
      <c r="D128" s="25"/>
      <c r="E128" s="25"/>
      <c r="F128" s="35"/>
      <c r="G128" s="35"/>
      <c r="H128" s="24" t="s">
        <v>146</v>
      </c>
    </row>
    <row r="129" spans="1:8" x14ac:dyDescent="0.2">
      <c r="A129" s="25"/>
      <c r="B129" s="25"/>
      <c r="C129" s="26" t="s">
        <v>165</v>
      </c>
      <c r="D129" s="25"/>
      <c r="E129" s="25"/>
      <c r="F129" s="32">
        <v>13034.466891619</v>
      </c>
      <c r="G129" s="33">
        <v>4.9302810000000002E-2</v>
      </c>
      <c r="H129" s="24" t="s">
        <v>146</v>
      </c>
    </row>
    <row r="130" spans="1:8" x14ac:dyDescent="0.2">
      <c r="A130" s="25"/>
      <c r="B130" s="25"/>
      <c r="C130" s="35"/>
      <c r="D130" s="25"/>
      <c r="E130" s="25"/>
      <c r="F130" s="25"/>
      <c r="G130" s="25"/>
      <c r="H130" s="24" t="s">
        <v>146</v>
      </c>
    </row>
    <row r="131" spans="1:8" x14ac:dyDescent="0.2">
      <c r="A131" s="25"/>
      <c r="B131" s="25"/>
      <c r="C131" s="26" t="s">
        <v>166</v>
      </c>
      <c r="D131" s="25"/>
      <c r="E131" s="25"/>
      <c r="F131" s="25"/>
      <c r="G131" s="25"/>
      <c r="H131" s="24" t="s">
        <v>146</v>
      </c>
    </row>
    <row r="132" spans="1:8" x14ac:dyDescent="0.2">
      <c r="A132" s="25"/>
      <c r="B132" s="25"/>
      <c r="C132" s="26" t="s">
        <v>167</v>
      </c>
      <c r="D132" s="25"/>
      <c r="E132" s="25"/>
      <c r="F132" s="25"/>
      <c r="G132" s="25"/>
      <c r="H132" s="24" t="s">
        <v>146</v>
      </c>
    </row>
    <row r="133" spans="1:8" x14ac:dyDescent="0.2">
      <c r="A133" s="25"/>
      <c r="B133" s="25"/>
      <c r="C133" s="26" t="s">
        <v>145</v>
      </c>
      <c r="D133" s="25"/>
      <c r="E133" s="25" t="s">
        <v>146</v>
      </c>
      <c r="F133" s="36" t="s">
        <v>148</v>
      </c>
      <c r="G133" s="33">
        <v>0</v>
      </c>
      <c r="H133" s="24" t="s">
        <v>146</v>
      </c>
    </row>
    <row r="134" spans="1:8" x14ac:dyDescent="0.2">
      <c r="A134" s="25"/>
      <c r="B134" s="25"/>
      <c r="C134" s="34"/>
      <c r="D134" s="25"/>
      <c r="E134" s="25"/>
      <c r="F134" s="35"/>
      <c r="G134" s="35"/>
      <c r="H134" s="24" t="s">
        <v>146</v>
      </c>
    </row>
    <row r="135" spans="1:8" x14ac:dyDescent="0.2">
      <c r="A135" s="25"/>
      <c r="B135" s="25"/>
      <c r="C135" s="26" t="s">
        <v>168</v>
      </c>
      <c r="D135" s="25"/>
      <c r="E135" s="25"/>
      <c r="F135" s="25"/>
      <c r="G135" s="25"/>
      <c r="H135" s="24" t="s">
        <v>146</v>
      </c>
    </row>
    <row r="136" spans="1:8" x14ac:dyDescent="0.2">
      <c r="A136" s="25"/>
      <c r="B136" s="25"/>
      <c r="C136" s="26" t="s">
        <v>169</v>
      </c>
      <c r="D136" s="25"/>
      <c r="E136" s="25"/>
      <c r="F136" s="25"/>
      <c r="G136" s="25"/>
      <c r="H136" s="24" t="s">
        <v>146</v>
      </c>
    </row>
    <row r="137" spans="1:8" x14ac:dyDescent="0.2">
      <c r="A137" s="25"/>
      <c r="B137" s="25"/>
      <c r="C137" s="26" t="s">
        <v>145</v>
      </c>
      <c r="D137" s="25"/>
      <c r="E137" s="25" t="s">
        <v>146</v>
      </c>
      <c r="F137" s="36" t="s">
        <v>148</v>
      </c>
      <c r="G137" s="33">
        <v>0</v>
      </c>
      <c r="H137" s="24" t="s">
        <v>146</v>
      </c>
    </row>
    <row r="138" spans="1:8" x14ac:dyDescent="0.2">
      <c r="A138" s="25"/>
      <c r="B138" s="25"/>
      <c r="C138" s="34"/>
      <c r="D138" s="25"/>
      <c r="E138" s="25"/>
      <c r="F138" s="35"/>
      <c r="G138" s="35"/>
      <c r="H138" s="24" t="s">
        <v>146</v>
      </c>
    </row>
    <row r="139" spans="1:8" x14ac:dyDescent="0.2">
      <c r="A139" s="25"/>
      <c r="B139" s="25"/>
      <c r="C139" s="26" t="s">
        <v>170</v>
      </c>
      <c r="D139" s="25"/>
      <c r="E139" s="25"/>
      <c r="F139" s="35"/>
      <c r="G139" s="35"/>
      <c r="H139" s="24" t="s">
        <v>146</v>
      </c>
    </row>
    <row r="140" spans="1:8" x14ac:dyDescent="0.2">
      <c r="A140" s="25"/>
      <c r="B140" s="25"/>
      <c r="C140" s="26" t="s">
        <v>145</v>
      </c>
      <c r="D140" s="25"/>
      <c r="E140" s="25" t="s">
        <v>146</v>
      </c>
      <c r="F140" s="36" t="s">
        <v>148</v>
      </c>
      <c r="G140" s="33">
        <v>0</v>
      </c>
      <c r="H140" s="24" t="s">
        <v>146</v>
      </c>
    </row>
    <row r="141" spans="1:8" x14ac:dyDescent="0.2">
      <c r="A141" s="25"/>
      <c r="B141" s="25"/>
      <c r="C141" s="34"/>
      <c r="D141" s="25"/>
      <c r="E141" s="25"/>
      <c r="F141" s="35"/>
      <c r="G141" s="35"/>
      <c r="H141" s="24" t="s">
        <v>146</v>
      </c>
    </row>
    <row r="142" spans="1:8" x14ac:dyDescent="0.2">
      <c r="A142" s="38"/>
      <c r="B142" s="28"/>
      <c r="C142" s="28" t="s">
        <v>171</v>
      </c>
      <c r="D142" s="28"/>
      <c r="E142" s="38"/>
      <c r="F142" s="30">
        <v>2207.7628237499998</v>
      </c>
      <c r="G142" s="31">
        <v>8.3508499999999999E-3</v>
      </c>
      <c r="H142" s="24" t="s">
        <v>146</v>
      </c>
    </row>
    <row r="143" spans="1:8" x14ac:dyDescent="0.2">
      <c r="A143" s="34"/>
      <c r="B143" s="34"/>
      <c r="C143" s="26" t="s">
        <v>172</v>
      </c>
      <c r="D143" s="35"/>
      <c r="E143" s="35"/>
      <c r="F143" s="32">
        <v>264375.75058301399</v>
      </c>
      <c r="G143" s="39">
        <v>1.0000000499999999</v>
      </c>
      <c r="H143" s="24" t="s">
        <v>146</v>
      </c>
    </row>
    <row r="144" spans="1:8" x14ac:dyDescent="0.2">
      <c r="A144" s="40"/>
      <c r="B144" s="40"/>
      <c r="C144" s="40"/>
      <c r="D144" s="41"/>
      <c r="E144" s="41"/>
      <c r="F144" s="41"/>
      <c r="G144" s="41"/>
    </row>
    <row r="145" spans="1:17" x14ac:dyDescent="0.2">
      <c r="A145" s="42"/>
      <c r="B145" s="236" t="s">
        <v>858</v>
      </c>
      <c r="C145" s="236"/>
      <c r="D145" s="236"/>
      <c r="E145" s="236"/>
      <c r="F145" s="236"/>
      <c r="G145" s="236"/>
      <c r="H145" s="236"/>
      <c r="J145" s="44"/>
    </row>
    <row r="146" spans="1:17" x14ac:dyDescent="0.2">
      <c r="A146" s="42"/>
      <c r="B146" s="236" t="s">
        <v>859</v>
      </c>
      <c r="C146" s="236"/>
      <c r="D146" s="236"/>
      <c r="E146" s="236"/>
      <c r="F146" s="236"/>
      <c r="G146" s="236"/>
      <c r="H146" s="236"/>
      <c r="J146" s="44"/>
    </row>
    <row r="147" spans="1:17" x14ac:dyDescent="0.2">
      <c r="A147" s="42"/>
      <c r="B147" s="236" t="s">
        <v>860</v>
      </c>
      <c r="C147" s="236"/>
      <c r="D147" s="236"/>
      <c r="E147" s="236"/>
      <c r="F147" s="236"/>
      <c r="G147" s="236"/>
      <c r="H147" s="236"/>
      <c r="J147" s="44"/>
    </row>
    <row r="148" spans="1:17" s="46" customFormat="1" ht="65.25" customHeight="1" x14ac:dyDescent="0.25">
      <c r="A148" s="45"/>
      <c r="B148" s="237" t="s">
        <v>861</v>
      </c>
      <c r="C148" s="237"/>
      <c r="D148" s="237"/>
      <c r="E148" s="237"/>
      <c r="F148" s="237"/>
      <c r="G148" s="237"/>
      <c r="H148" s="237"/>
      <c r="I148"/>
      <c r="J148" s="44"/>
      <c r="K148"/>
      <c r="L148"/>
      <c r="M148"/>
      <c r="N148"/>
      <c r="O148"/>
      <c r="P148"/>
      <c r="Q148"/>
    </row>
    <row r="149" spans="1:17" x14ac:dyDescent="0.2">
      <c r="A149" s="42"/>
      <c r="B149" s="236" t="s">
        <v>862</v>
      </c>
      <c r="C149" s="236"/>
      <c r="D149" s="236"/>
      <c r="E149" s="236"/>
      <c r="F149" s="236"/>
      <c r="G149" s="236"/>
      <c r="H149" s="236"/>
      <c r="J149" s="44"/>
    </row>
    <row r="150" spans="1:17" x14ac:dyDescent="0.2">
      <c r="A150" s="47"/>
      <c r="B150" s="47"/>
      <c r="C150" s="47"/>
      <c r="D150" s="48"/>
      <c r="E150" s="48"/>
      <c r="F150" s="48"/>
      <c r="G150" s="48"/>
    </row>
    <row r="151" spans="1:17" x14ac:dyDescent="0.2">
      <c r="A151" s="47"/>
      <c r="B151" s="233" t="s">
        <v>173</v>
      </c>
      <c r="C151" s="234"/>
      <c r="D151" s="235"/>
      <c r="E151" s="49"/>
      <c r="F151" s="48"/>
      <c r="G151" s="48"/>
    </row>
    <row r="152" spans="1:17" ht="29.25" customHeight="1" x14ac:dyDescent="0.2">
      <c r="A152" s="42"/>
      <c r="B152" s="227" t="s">
        <v>174</v>
      </c>
      <c r="C152" s="228"/>
      <c r="D152" s="50" t="s">
        <v>892</v>
      </c>
      <c r="E152" s="51"/>
      <c r="F152" s="52"/>
      <c r="G152" s="52"/>
    </row>
    <row r="153" spans="1:17" ht="17.100000000000001" customHeight="1" x14ac:dyDescent="0.2">
      <c r="A153" s="42"/>
      <c r="B153" s="227" t="s">
        <v>863</v>
      </c>
      <c r="C153" s="228"/>
      <c r="D153" s="50" t="str">
        <f>"Rs. "&amp;TEXT(F87,"0.00")&amp;" lacs/ 0.04%"</f>
        <v>Rs. 111.44 lacs/ 0.04%</v>
      </c>
      <c r="E153" s="51"/>
      <c r="F153" s="52"/>
      <c r="G153" s="52"/>
    </row>
    <row r="154" spans="1:17" x14ac:dyDescent="0.2">
      <c r="A154" s="47"/>
      <c r="B154" s="231" t="s">
        <v>176</v>
      </c>
      <c r="C154" s="232"/>
      <c r="D154" s="35" t="s">
        <v>146</v>
      </c>
      <c r="E154" s="49"/>
      <c r="F154" s="48"/>
      <c r="G154" s="48"/>
    </row>
    <row r="155" spans="1:17" x14ac:dyDescent="0.2">
      <c r="A155" s="53"/>
      <c r="B155" s="54" t="s">
        <v>146</v>
      </c>
      <c r="C155" s="54" t="s">
        <v>864</v>
      </c>
      <c r="D155" s="54" t="s">
        <v>177</v>
      </c>
      <c r="E155" s="53"/>
      <c r="F155" s="53"/>
      <c r="G155" s="53"/>
      <c r="H155" s="53"/>
      <c r="J155" s="44"/>
    </row>
    <row r="156" spans="1:17" x14ac:dyDescent="0.2">
      <c r="A156" s="53"/>
      <c r="B156" s="55" t="s">
        <v>178</v>
      </c>
      <c r="C156" s="56">
        <v>45657</v>
      </c>
      <c r="D156" s="56">
        <v>45688</v>
      </c>
      <c r="E156" s="53"/>
      <c r="F156" s="53"/>
      <c r="G156" s="53"/>
      <c r="J156" s="44"/>
    </row>
    <row r="157" spans="1:17" x14ac:dyDescent="0.2">
      <c r="A157" s="57"/>
      <c r="B157" s="28" t="s">
        <v>179</v>
      </c>
      <c r="C157" s="58">
        <v>413.20600000000002</v>
      </c>
      <c r="D157" s="58">
        <v>392.15</v>
      </c>
      <c r="E157" s="57"/>
      <c r="F157" s="59"/>
      <c r="G157" s="60"/>
    </row>
    <row r="158" spans="1:17" ht="25.5" x14ac:dyDescent="0.2">
      <c r="A158" s="57"/>
      <c r="B158" s="28" t="s">
        <v>1027</v>
      </c>
      <c r="C158" s="58">
        <v>91.727099999999993</v>
      </c>
      <c r="D158" s="58">
        <v>87.052899999999994</v>
      </c>
      <c r="E158" s="57"/>
      <c r="F158" s="59"/>
      <c r="G158" s="60"/>
    </row>
    <row r="159" spans="1:17" x14ac:dyDescent="0.2">
      <c r="A159" s="57"/>
      <c r="B159" s="28" t="s">
        <v>180</v>
      </c>
      <c r="C159" s="58">
        <v>373.29020000000003</v>
      </c>
      <c r="D159" s="58">
        <v>353.94130000000001</v>
      </c>
      <c r="E159" s="57"/>
      <c r="F159" s="59"/>
      <c r="G159" s="60"/>
    </row>
    <row r="160" spans="1:17" ht="25.5" x14ac:dyDescent="0.2">
      <c r="A160" s="57"/>
      <c r="B160" s="28" t="s">
        <v>1028</v>
      </c>
      <c r="C160" s="58">
        <v>68.406899999999993</v>
      </c>
      <c r="D160" s="58">
        <v>64.861099999999993</v>
      </c>
      <c r="E160" s="57"/>
      <c r="F160" s="59"/>
      <c r="G160" s="60"/>
    </row>
    <row r="161" spans="1:7" x14ac:dyDescent="0.2">
      <c r="A161" s="57"/>
      <c r="B161" s="57"/>
      <c r="C161" s="57"/>
      <c r="D161" s="57"/>
      <c r="E161" s="57"/>
      <c r="F161" s="57"/>
      <c r="G161" s="57"/>
    </row>
    <row r="162" spans="1:7" x14ac:dyDescent="0.2">
      <c r="A162" s="53"/>
      <c r="B162" s="227" t="s">
        <v>865</v>
      </c>
      <c r="C162" s="228"/>
      <c r="D162" s="50" t="s">
        <v>175</v>
      </c>
      <c r="E162" s="53"/>
      <c r="F162" s="53"/>
      <c r="G162" s="53"/>
    </row>
    <row r="163" spans="1:7" x14ac:dyDescent="0.2">
      <c r="A163" s="53"/>
      <c r="B163" s="74"/>
      <c r="C163" s="74"/>
      <c r="D163" s="74"/>
      <c r="E163" s="53"/>
      <c r="F163" s="53"/>
      <c r="G163" s="53"/>
    </row>
    <row r="164" spans="1:7" ht="29.1" customHeight="1" x14ac:dyDescent="0.2">
      <c r="A164" s="53"/>
      <c r="B164" s="227" t="s">
        <v>181</v>
      </c>
      <c r="C164" s="228"/>
      <c r="D164" s="50" t="s">
        <v>175</v>
      </c>
      <c r="E164" s="64"/>
      <c r="F164" s="53"/>
      <c r="G164" s="53"/>
    </row>
    <row r="165" spans="1:7" ht="29.1" customHeight="1" x14ac:dyDescent="0.2">
      <c r="A165" s="53"/>
      <c r="B165" s="227" t="s">
        <v>182</v>
      </c>
      <c r="C165" s="228"/>
      <c r="D165" s="50" t="s">
        <v>175</v>
      </c>
      <c r="E165" s="64"/>
      <c r="F165" s="53"/>
      <c r="G165" s="53"/>
    </row>
    <row r="166" spans="1:7" ht="17.100000000000001" customHeight="1" x14ac:dyDescent="0.2">
      <c r="A166" s="53"/>
      <c r="B166" s="227" t="s">
        <v>183</v>
      </c>
      <c r="C166" s="228"/>
      <c r="D166" s="50" t="s">
        <v>175</v>
      </c>
      <c r="E166" s="64"/>
      <c r="F166" s="53"/>
      <c r="G166" s="53"/>
    </row>
    <row r="167" spans="1:7" ht="17.100000000000001" customHeight="1" x14ac:dyDescent="0.2">
      <c r="A167" s="53"/>
      <c r="B167" s="227" t="s">
        <v>184</v>
      </c>
      <c r="C167" s="228"/>
      <c r="D167" s="65">
        <v>0.70128658376523456</v>
      </c>
      <c r="E167" s="53"/>
      <c r="F167" s="43"/>
      <c r="G167" s="63"/>
    </row>
    <row r="169" spans="1:7" x14ac:dyDescent="0.2">
      <c r="B169" s="124" t="s">
        <v>1096</v>
      </c>
    </row>
    <row r="170" spans="1:7" ht="67.5" x14ac:dyDescent="0.2">
      <c r="B170" s="125" t="s">
        <v>896</v>
      </c>
      <c r="C170" s="125" t="s">
        <v>897</v>
      </c>
      <c r="D170" s="125" t="s">
        <v>898</v>
      </c>
      <c r="E170" s="125" t="s">
        <v>899</v>
      </c>
      <c r="F170" s="125" t="s">
        <v>900</v>
      </c>
    </row>
    <row r="171" spans="1:7" ht="13.5" x14ac:dyDescent="0.2">
      <c r="B171" s="126" t="s">
        <v>1003</v>
      </c>
      <c r="C171" s="127" t="s">
        <v>976</v>
      </c>
      <c r="D171" s="6">
        <v>0</v>
      </c>
      <c r="E171" s="7">
        <v>0</v>
      </c>
      <c r="F171" s="128">
        <v>29.407129999999999</v>
      </c>
    </row>
    <row r="173" spans="1:7" x14ac:dyDescent="0.2">
      <c r="B173" s="229" t="s">
        <v>866</v>
      </c>
      <c r="C173" s="229"/>
    </row>
    <row r="175" spans="1:7" ht="153.75" customHeight="1" x14ac:dyDescent="0.2"/>
    <row r="178" spans="2:10" x14ac:dyDescent="0.2">
      <c r="B178" s="66" t="s">
        <v>867</v>
      </c>
      <c r="C178" s="67"/>
      <c r="D178" s="66" t="s">
        <v>870</v>
      </c>
    </row>
    <row r="179" spans="2:10" x14ac:dyDescent="0.2">
      <c r="B179" s="66" t="s">
        <v>1004</v>
      </c>
      <c r="D179" s="66" t="s">
        <v>1004</v>
      </c>
    </row>
    <row r="180" spans="2:10" ht="165" customHeight="1" x14ac:dyDescent="0.2"/>
    <row r="182" spans="2:10" x14ac:dyDescent="0.2">
      <c r="J182" s="21"/>
    </row>
  </sheetData>
  <mergeCells count="18">
    <mergeCell ref="B173:C173"/>
    <mergeCell ref="B147:H147"/>
    <mergeCell ref="B148:H148"/>
    <mergeCell ref="B149:H149"/>
    <mergeCell ref="B164:C164"/>
    <mergeCell ref="B165:C165"/>
    <mergeCell ref="B162:C162"/>
    <mergeCell ref="B166:C166"/>
    <mergeCell ref="B167:C167"/>
    <mergeCell ref="A1:H1"/>
    <mergeCell ref="A2:H2"/>
    <mergeCell ref="A3:H3"/>
    <mergeCell ref="B153:C153"/>
    <mergeCell ref="B154:C154"/>
    <mergeCell ref="B151:D151"/>
    <mergeCell ref="B152:C152"/>
    <mergeCell ref="B145:H145"/>
    <mergeCell ref="B146:H146"/>
  </mergeCells>
  <hyperlinks>
    <hyperlink ref="I1" location="Index!B2" display="Index" xr:uid="{4733CFFC-1625-4060-B407-174D01D70D7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41A0-4869-4A9B-9098-854CDE234B3F}">
  <sheetPr>
    <outlinePr summaryBelow="0" summaryRight="0"/>
  </sheetPr>
  <dimension ref="A1:Q222"/>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749</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644</v>
      </c>
      <c r="C7" s="28" t="s">
        <v>645</v>
      </c>
      <c r="D7" s="28" t="s">
        <v>120</v>
      </c>
      <c r="E7" s="29">
        <v>1418</v>
      </c>
      <c r="F7" s="30">
        <v>111.81071799999999</v>
      </c>
      <c r="G7" s="31">
        <v>1.16052E-2</v>
      </c>
      <c r="H7" s="24" t="s">
        <v>146</v>
      </c>
    </row>
    <row r="8" spans="1:9" ht="25.5" x14ac:dyDescent="0.2">
      <c r="A8" s="27">
        <v>2</v>
      </c>
      <c r="B8" s="28" t="s">
        <v>443</v>
      </c>
      <c r="C8" s="28" t="s">
        <v>444</v>
      </c>
      <c r="D8" s="28" t="s">
        <v>218</v>
      </c>
      <c r="E8" s="29">
        <v>10853</v>
      </c>
      <c r="F8" s="30">
        <v>111.2052645</v>
      </c>
      <c r="G8" s="31">
        <v>1.154236E-2</v>
      </c>
      <c r="H8" s="24" t="s">
        <v>146</v>
      </c>
    </row>
    <row r="9" spans="1:9" x14ac:dyDescent="0.2">
      <c r="A9" s="27">
        <v>3</v>
      </c>
      <c r="B9" s="28" t="s">
        <v>652</v>
      </c>
      <c r="C9" s="28" t="s">
        <v>653</v>
      </c>
      <c r="D9" s="28" t="s">
        <v>120</v>
      </c>
      <c r="E9" s="29">
        <v>6280</v>
      </c>
      <c r="F9" s="30">
        <v>109.02708</v>
      </c>
      <c r="G9" s="31">
        <v>1.131628E-2</v>
      </c>
      <c r="H9" s="24" t="s">
        <v>146</v>
      </c>
    </row>
    <row r="10" spans="1:9" x14ac:dyDescent="0.2">
      <c r="A10" s="27">
        <v>4</v>
      </c>
      <c r="B10" s="28" t="s">
        <v>54</v>
      </c>
      <c r="C10" s="28" t="s">
        <v>55</v>
      </c>
      <c r="D10" s="28" t="s">
        <v>56</v>
      </c>
      <c r="E10" s="29">
        <v>41368</v>
      </c>
      <c r="F10" s="30">
        <v>108.6365048</v>
      </c>
      <c r="G10" s="31">
        <v>1.1275739999999999E-2</v>
      </c>
      <c r="H10" s="24" t="s">
        <v>146</v>
      </c>
    </row>
    <row r="11" spans="1:9" x14ac:dyDescent="0.2">
      <c r="A11" s="27">
        <v>5</v>
      </c>
      <c r="B11" s="28" t="s">
        <v>526</v>
      </c>
      <c r="C11" s="28" t="s">
        <v>527</v>
      </c>
      <c r="D11" s="28" t="s">
        <v>275</v>
      </c>
      <c r="E11" s="29">
        <v>875</v>
      </c>
      <c r="F11" s="30">
        <v>107.7181875</v>
      </c>
      <c r="G11" s="31">
        <v>1.118042E-2</v>
      </c>
      <c r="H11" s="24" t="s">
        <v>146</v>
      </c>
    </row>
    <row r="12" spans="1:9" x14ac:dyDescent="0.2">
      <c r="A12" s="27">
        <v>6</v>
      </c>
      <c r="B12" s="28" t="s">
        <v>333</v>
      </c>
      <c r="C12" s="28" t="s">
        <v>334</v>
      </c>
      <c r="D12" s="28" t="s">
        <v>33</v>
      </c>
      <c r="E12" s="29">
        <v>5607</v>
      </c>
      <c r="F12" s="30">
        <v>106.605891</v>
      </c>
      <c r="G12" s="31">
        <v>1.106497E-2</v>
      </c>
      <c r="H12" s="24" t="s">
        <v>146</v>
      </c>
    </row>
    <row r="13" spans="1:9" ht="25.5" x14ac:dyDescent="0.2">
      <c r="A13" s="27">
        <v>7</v>
      </c>
      <c r="B13" s="28" t="s">
        <v>361</v>
      </c>
      <c r="C13" s="28" t="s">
        <v>362</v>
      </c>
      <c r="D13" s="28" t="s">
        <v>120</v>
      </c>
      <c r="E13" s="29">
        <v>8280</v>
      </c>
      <c r="F13" s="30">
        <v>106.46838</v>
      </c>
      <c r="G13" s="31">
        <v>1.10507E-2</v>
      </c>
      <c r="H13" s="24" t="s">
        <v>146</v>
      </c>
    </row>
    <row r="14" spans="1:9" x14ac:dyDescent="0.2">
      <c r="A14" s="27">
        <v>8</v>
      </c>
      <c r="B14" s="28" t="s">
        <v>750</v>
      </c>
      <c r="C14" s="28" t="s">
        <v>751</v>
      </c>
      <c r="D14" s="28" t="s">
        <v>752</v>
      </c>
      <c r="E14" s="29">
        <v>4579</v>
      </c>
      <c r="F14" s="30">
        <v>105.92142800000001</v>
      </c>
      <c r="G14" s="31">
        <v>1.0993930000000001E-2</v>
      </c>
      <c r="H14" s="24" t="s">
        <v>146</v>
      </c>
    </row>
    <row r="15" spans="1:9" x14ac:dyDescent="0.2">
      <c r="A15" s="27">
        <v>9</v>
      </c>
      <c r="B15" s="28" t="s">
        <v>753</v>
      </c>
      <c r="C15" s="28" t="s">
        <v>754</v>
      </c>
      <c r="D15" s="28" t="s">
        <v>752</v>
      </c>
      <c r="E15" s="29">
        <v>2052</v>
      </c>
      <c r="F15" s="30">
        <v>105.260418</v>
      </c>
      <c r="G15" s="31">
        <v>1.0925320000000001E-2</v>
      </c>
      <c r="H15" s="24" t="s">
        <v>146</v>
      </c>
    </row>
    <row r="16" spans="1:9" x14ac:dyDescent="0.2">
      <c r="A16" s="27">
        <v>10</v>
      </c>
      <c r="B16" s="28" t="s">
        <v>732</v>
      </c>
      <c r="C16" s="28" t="s">
        <v>733</v>
      </c>
      <c r="D16" s="28" t="s">
        <v>275</v>
      </c>
      <c r="E16" s="29">
        <v>2023</v>
      </c>
      <c r="F16" s="30">
        <v>105.08068900000001</v>
      </c>
      <c r="G16" s="31">
        <v>1.090667E-2</v>
      </c>
      <c r="H16" s="24" t="s">
        <v>146</v>
      </c>
    </row>
    <row r="17" spans="1:8" ht="25.5" x14ac:dyDescent="0.2">
      <c r="A17" s="27">
        <v>11</v>
      </c>
      <c r="B17" s="28" t="s">
        <v>755</v>
      </c>
      <c r="C17" s="28" t="s">
        <v>756</v>
      </c>
      <c r="D17" s="28" t="s">
        <v>25</v>
      </c>
      <c r="E17" s="29">
        <v>376</v>
      </c>
      <c r="F17" s="30">
        <v>104.512584</v>
      </c>
      <c r="G17" s="31">
        <v>1.08477E-2</v>
      </c>
      <c r="H17" s="24" t="s">
        <v>146</v>
      </c>
    </row>
    <row r="18" spans="1:8" x14ac:dyDescent="0.2">
      <c r="A18" s="27">
        <v>12</v>
      </c>
      <c r="B18" s="28" t="s">
        <v>441</v>
      </c>
      <c r="C18" s="28" t="s">
        <v>442</v>
      </c>
      <c r="D18" s="28" t="s">
        <v>349</v>
      </c>
      <c r="E18" s="29">
        <v>4225</v>
      </c>
      <c r="F18" s="30">
        <v>104.3068</v>
      </c>
      <c r="G18" s="31">
        <v>1.082634E-2</v>
      </c>
      <c r="H18" s="24" t="s">
        <v>146</v>
      </c>
    </row>
    <row r="19" spans="1:8" x14ac:dyDescent="0.2">
      <c r="A19" s="27">
        <v>13</v>
      </c>
      <c r="B19" s="28" t="s">
        <v>448</v>
      </c>
      <c r="C19" s="28" t="s">
        <v>449</v>
      </c>
      <c r="D19" s="28" t="s">
        <v>33</v>
      </c>
      <c r="E19" s="29">
        <v>10476</v>
      </c>
      <c r="F19" s="30">
        <v>103.838112</v>
      </c>
      <c r="G19" s="31">
        <v>1.0777699999999999E-2</v>
      </c>
      <c r="H19" s="24" t="s">
        <v>146</v>
      </c>
    </row>
    <row r="20" spans="1:8" x14ac:dyDescent="0.2">
      <c r="A20" s="27">
        <v>14</v>
      </c>
      <c r="B20" s="28" t="s">
        <v>757</v>
      </c>
      <c r="C20" s="28" t="s">
        <v>758</v>
      </c>
      <c r="D20" s="28" t="s">
        <v>497</v>
      </c>
      <c r="E20" s="29">
        <v>9212</v>
      </c>
      <c r="F20" s="30">
        <v>103.28955000000001</v>
      </c>
      <c r="G20" s="31">
        <v>1.0720759999999999E-2</v>
      </c>
      <c r="H20" s="24" t="s">
        <v>146</v>
      </c>
    </row>
    <row r="21" spans="1:8" x14ac:dyDescent="0.2">
      <c r="A21" s="27">
        <v>15</v>
      </c>
      <c r="B21" s="28" t="s">
        <v>363</v>
      </c>
      <c r="C21" s="28" t="s">
        <v>364</v>
      </c>
      <c r="D21" s="28" t="s">
        <v>39</v>
      </c>
      <c r="E21" s="29">
        <v>2959</v>
      </c>
      <c r="F21" s="30">
        <v>103.2764975</v>
      </c>
      <c r="G21" s="31">
        <v>1.07194E-2</v>
      </c>
      <c r="H21" s="24" t="s">
        <v>146</v>
      </c>
    </row>
    <row r="22" spans="1:8" ht="25.5" x14ac:dyDescent="0.2">
      <c r="A22" s="27">
        <v>16</v>
      </c>
      <c r="B22" s="28" t="s">
        <v>759</v>
      </c>
      <c r="C22" s="28" t="s">
        <v>760</v>
      </c>
      <c r="D22" s="28" t="s">
        <v>223</v>
      </c>
      <c r="E22" s="29">
        <v>12549</v>
      </c>
      <c r="F22" s="30">
        <v>103.190427</v>
      </c>
      <c r="G22" s="31">
        <v>1.071047E-2</v>
      </c>
      <c r="H22" s="24" t="s">
        <v>146</v>
      </c>
    </row>
    <row r="23" spans="1:8" x14ac:dyDescent="0.2">
      <c r="A23" s="27">
        <v>17</v>
      </c>
      <c r="B23" s="28" t="s">
        <v>433</v>
      </c>
      <c r="C23" s="28" t="s">
        <v>434</v>
      </c>
      <c r="D23" s="28" t="s">
        <v>280</v>
      </c>
      <c r="E23" s="29">
        <v>6934</v>
      </c>
      <c r="F23" s="30">
        <v>102.87282399999999</v>
      </c>
      <c r="G23" s="31">
        <v>1.0677509999999999E-2</v>
      </c>
      <c r="H23" s="24" t="s">
        <v>146</v>
      </c>
    </row>
    <row r="24" spans="1:8" x14ac:dyDescent="0.2">
      <c r="A24" s="27">
        <v>18</v>
      </c>
      <c r="B24" s="28" t="s">
        <v>761</v>
      </c>
      <c r="C24" s="28" t="s">
        <v>762</v>
      </c>
      <c r="D24" s="28" t="s">
        <v>205</v>
      </c>
      <c r="E24" s="29">
        <v>2801</v>
      </c>
      <c r="F24" s="30">
        <v>102.6468465</v>
      </c>
      <c r="G24" s="31">
        <v>1.065405E-2</v>
      </c>
      <c r="H24" s="24" t="s">
        <v>146</v>
      </c>
    </row>
    <row r="25" spans="1:8" x14ac:dyDescent="0.2">
      <c r="A25" s="27">
        <v>19</v>
      </c>
      <c r="B25" s="28" t="s">
        <v>699</v>
      </c>
      <c r="C25" s="28" t="s">
        <v>700</v>
      </c>
      <c r="D25" s="28" t="s">
        <v>139</v>
      </c>
      <c r="E25" s="29">
        <v>10834</v>
      </c>
      <c r="F25" s="30">
        <v>102.3813</v>
      </c>
      <c r="G25" s="31">
        <v>1.0626490000000001E-2</v>
      </c>
      <c r="H25" s="24" t="s">
        <v>146</v>
      </c>
    </row>
    <row r="26" spans="1:8" x14ac:dyDescent="0.2">
      <c r="A26" s="27">
        <v>20</v>
      </c>
      <c r="B26" s="28" t="s">
        <v>763</v>
      </c>
      <c r="C26" s="28" t="s">
        <v>764</v>
      </c>
      <c r="D26" s="28" t="s">
        <v>497</v>
      </c>
      <c r="E26" s="29">
        <v>19308</v>
      </c>
      <c r="F26" s="30">
        <v>102.303438</v>
      </c>
      <c r="G26" s="31">
        <v>1.061841E-2</v>
      </c>
      <c r="H26" s="24" t="s">
        <v>146</v>
      </c>
    </row>
    <row r="27" spans="1:8" x14ac:dyDescent="0.2">
      <c r="A27" s="27">
        <v>21</v>
      </c>
      <c r="B27" s="28" t="s">
        <v>765</v>
      </c>
      <c r="C27" s="28" t="s">
        <v>766</v>
      </c>
      <c r="D27" s="28" t="s">
        <v>120</v>
      </c>
      <c r="E27" s="29">
        <v>882</v>
      </c>
      <c r="F27" s="30">
        <v>101.956554</v>
      </c>
      <c r="G27" s="31">
        <v>1.05824E-2</v>
      </c>
      <c r="H27" s="24" t="s">
        <v>146</v>
      </c>
    </row>
    <row r="28" spans="1:8" x14ac:dyDescent="0.2">
      <c r="A28" s="27">
        <v>22</v>
      </c>
      <c r="B28" s="28" t="s">
        <v>14</v>
      </c>
      <c r="C28" s="28" t="s">
        <v>15</v>
      </c>
      <c r="D28" s="28" t="s">
        <v>16</v>
      </c>
      <c r="E28" s="29">
        <v>8052</v>
      </c>
      <c r="F28" s="30">
        <v>101.865852</v>
      </c>
      <c r="G28" s="31">
        <v>1.0572990000000001E-2</v>
      </c>
      <c r="H28" s="24" t="s">
        <v>146</v>
      </c>
    </row>
    <row r="29" spans="1:8" x14ac:dyDescent="0.2">
      <c r="A29" s="27">
        <v>23</v>
      </c>
      <c r="B29" s="28" t="s">
        <v>451</v>
      </c>
      <c r="C29" s="28" t="s">
        <v>452</v>
      </c>
      <c r="D29" s="28" t="s">
        <v>195</v>
      </c>
      <c r="E29" s="29">
        <v>32418</v>
      </c>
      <c r="F29" s="30">
        <v>101.11174200000001</v>
      </c>
      <c r="G29" s="31">
        <v>1.0494720000000001E-2</v>
      </c>
      <c r="H29" s="24" t="s">
        <v>146</v>
      </c>
    </row>
    <row r="30" spans="1:8" x14ac:dyDescent="0.2">
      <c r="A30" s="27">
        <v>24</v>
      </c>
      <c r="B30" s="28" t="s">
        <v>767</v>
      </c>
      <c r="C30" s="28" t="s">
        <v>768</v>
      </c>
      <c r="D30" s="28" t="s">
        <v>120</v>
      </c>
      <c r="E30" s="29">
        <v>66527</v>
      </c>
      <c r="F30" s="30">
        <v>100.41585379999999</v>
      </c>
      <c r="G30" s="31">
        <v>1.042249E-2</v>
      </c>
      <c r="H30" s="24" t="s">
        <v>146</v>
      </c>
    </row>
    <row r="31" spans="1:8" x14ac:dyDescent="0.2">
      <c r="A31" s="27">
        <v>25</v>
      </c>
      <c r="B31" s="28" t="s">
        <v>769</v>
      </c>
      <c r="C31" s="28" t="s">
        <v>770</v>
      </c>
      <c r="D31" s="28" t="s">
        <v>22</v>
      </c>
      <c r="E31" s="29">
        <v>19558</v>
      </c>
      <c r="F31" s="30">
        <v>100.371656</v>
      </c>
      <c r="G31" s="31">
        <v>1.0417900000000001E-2</v>
      </c>
      <c r="H31" s="24" t="s">
        <v>146</v>
      </c>
    </row>
    <row r="32" spans="1:8" x14ac:dyDescent="0.2">
      <c r="A32" s="27">
        <v>26</v>
      </c>
      <c r="B32" s="28" t="s">
        <v>371</v>
      </c>
      <c r="C32" s="28" t="s">
        <v>372</v>
      </c>
      <c r="D32" s="28" t="s">
        <v>373</v>
      </c>
      <c r="E32" s="29">
        <v>25314</v>
      </c>
      <c r="F32" s="30">
        <v>100.218126</v>
      </c>
      <c r="G32" s="31">
        <v>1.040197E-2</v>
      </c>
      <c r="H32" s="24" t="s">
        <v>146</v>
      </c>
    </row>
    <row r="33" spans="1:8" x14ac:dyDescent="0.2">
      <c r="A33" s="27">
        <v>27</v>
      </c>
      <c r="B33" s="28" t="s">
        <v>701</v>
      </c>
      <c r="C33" s="28" t="s">
        <v>702</v>
      </c>
      <c r="D33" s="28" t="s">
        <v>280</v>
      </c>
      <c r="E33" s="29">
        <v>15688</v>
      </c>
      <c r="F33" s="30">
        <v>100.097284</v>
      </c>
      <c r="G33" s="31">
        <v>1.038942E-2</v>
      </c>
      <c r="H33" s="24" t="s">
        <v>146</v>
      </c>
    </row>
    <row r="34" spans="1:8" x14ac:dyDescent="0.2">
      <c r="A34" s="27">
        <v>28</v>
      </c>
      <c r="B34" s="28" t="s">
        <v>771</v>
      </c>
      <c r="C34" s="28" t="s">
        <v>772</v>
      </c>
      <c r="D34" s="28" t="s">
        <v>195</v>
      </c>
      <c r="E34" s="29">
        <v>1684</v>
      </c>
      <c r="F34" s="30">
        <v>99.594285999999997</v>
      </c>
      <c r="G34" s="31">
        <v>1.0337209999999999E-2</v>
      </c>
      <c r="H34" s="24" t="s">
        <v>146</v>
      </c>
    </row>
    <row r="35" spans="1:8" ht="25.5" x14ac:dyDescent="0.2">
      <c r="A35" s="27">
        <v>29</v>
      </c>
      <c r="B35" s="28" t="s">
        <v>238</v>
      </c>
      <c r="C35" s="28" t="s">
        <v>239</v>
      </c>
      <c r="D35" s="28" t="s">
        <v>198</v>
      </c>
      <c r="E35" s="29">
        <v>10257</v>
      </c>
      <c r="F35" s="30">
        <v>99.518542499999995</v>
      </c>
      <c r="G35" s="31">
        <v>1.0329349999999999E-2</v>
      </c>
      <c r="H35" s="24" t="s">
        <v>146</v>
      </c>
    </row>
    <row r="36" spans="1:8" ht="25.5" x14ac:dyDescent="0.2">
      <c r="A36" s="27">
        <v>30</v>
      </c>
      <c r="B36" s="28" t="s">
        <v>369</v>
      </c>
      <c r="C36" s="28" t="s">
        <v>370</v>
      </c>
      <c r="D36" s="28" t="s">
        <v>25</v>
      </c>
      <c r="E36" s="29">
        <v>3966</v>
      </c>
      <c r="F36" s="30">
        <v>99.500990999999999</v>
      </c>
      <c r="G36" s="31">
        <v>1.032753E-2</v>
      </c>
      <c r="H36" s="24" t="s">
        <v>146</v>
      </c>
    </row>
    <row r="37" spans="1:8" x14ac:dyDescent="0.2">
      <c r="A37" s="27">
        <v>31</v>
      </c>
      <c r="B37" s="28" t="s">
        <v>17</v>
      </c>
      <c r="C37" s="28" t="s">
        <v>18</v>
      </c>
      <c r="D37" s="28" t="s">
        <v>19</v>
      </c>
      <c r="E37" s="29">
        <v>6117</v>
      </c>
      <c r="F37" s="30">
        <v>99.480771000000004</v>
      </c>
      <c r="G37" s="31">
        <v>1.032543E-2</v>
      </c>
      <c r="H37" s="24" t="s">
        <v>146</v>
      </c>
    </row>
    <row r="38" spans="1:8" x14ac:dyDescent="0.2">
      <c r="A38" s="27">
        <v>32</v>
      </c>
      <c r="B38" s="28" t="s">
        <v>705</v>
      </c>
      <c r="C38" s="28" t="s">
        <v>706</v>
      </c>
      <c r="D38" s="28" t="s">
        <v>275</v>
      </c>
      <c r="E38" s="29">
        <v>2287</v>
      </c>
      <c r="F38" s="30">
        <v>99.236360500000004</v>
      </c>
      <c r="G38" s="31">
        <v>1.030006E-2</v>
      </c>
      <c r="H38" s="24" t="s">
        <v>146</v>
      </c>
    </row>
    <row r="39" spans="1:8" x14ac:dyDescent="0.2">
      <c r="A39" s="27">
        <v>33</v>
      </c>
      <c r="B39" s="28" t="s">
        <v>707</v>
      </c>
      <c r="C39" s="28" t="s">
        <v>708</v>
      </c>
      <c r="D39" s="28" t="s">
        <v>39</v>
      </c>
      <c r="E39" s="29">
        <v>4311</v>
      </c>
      <c r="F39" s="30">
        <v>99.187488000000002</v>
      </c>
      <c r="G39" s="31">
        <v>1.029499E-2</v>
      </c>
      <c r="H39" s="24" t="s">
        <v>146</v>
      </c>
    </row>
    <row r="40" spans="1:8" x14ac:dyDescent="0.2">
      <c r="A40" s="27">
        <v>34</v>
      </c>
      <c r="B40" s="28" t="s">
        <v>528</v>
      </c>
      <c r="C40" s="28" t="s">
        <v>529</v>
      </c>
      <c r="D40" s="28" t="s">
        <v>275</v>
      </c>
      <c r="E40" s="29">
        <v>1115</v>
      </c>
      <c r="F40" s="30">
        <v>98.652969999999996</v>
      </c>
      <c r="G40" s="31">
        <v>1.023951E-2</v>
      </c>
      <c r="H40" s="24" t="s">
        <v>146</v>
      </c>
    </row>
    <row r="41" spans="1:8" ht="25.5" x14ac:dyDescent="0.2">
      <c r="A41" s="27">
        <v>35</v>
      </c>
      <c r="B41" s="28" t="s">
        <v>23</v>
      </c>
      <c r="C41" s="28" t="s">
        <v>24</v>
      </c>
      <c r="D41" s="28" t="s">
        <v>25</v>
      </c>
      <c r="E41" s="29">
        <v>857</v>
      </c>
      <c r="F41" s="30">
        <v>98.447446499999998</v>
      </c>
      <c r="G41" s="31">
        <v>1.021818E-2</v>
      </c>
      <c r="H41" s="24" t="s">
        <v>146</v>
      </c>
    </row>
    <row r="42" spans="1:8" ht="25.5" x14ac:dyDescent="0.2">
      <c r="A42" s="27">
        <v>36</v>
      </c>
      <c r="B42" s="28" t="s">
        <v>773</v>
      </c>
      <c r="C42" s="28" t="s">
        <v>774</v>
      </c>
      <c r="D42" s="28" t="s">
        <v>258</v>
      </c>
      <c r="E42" s="29">
        <v>3406</v>
      </c>
      <c r="F42" s="30">
        <v>97.810102000000001</v>
      </c>
      <c r="G42" s="31">
        <v>1.0152029999999999E-2</v>
      </c>
      <c r="H42" s="24" t="s">
        <v>146</v>
      </c>
    </row>
    <row r="43" spans="1:8" ht="25.5" x14ac:dyDescent="0.2">
      <c r="A43" s="27">
        <v>37</v>
      </c>
      <c r="B43" s="28" t="s">
        <v>437</v>
      </c>
      <c r="C43" s="28" t="s">
        <v>438</v>
      </c>
      <c r="D43" s="28" t="s">
        <v>198</v>
      </c>
      <c r="E43" s="29">
        <v>6605</v>
      </c>
      <c r="F43" s="30">
        <v>97.714370000000002</v>
      </c>
      <c r="G43" s="31">
        <v>1.0142089999999999E-2</v>
      </c>
      <c r="H43" s="24" t="s">
        <v>146</v>
      </c>
    </row>
    <row r="44" spans="1:8" x14ac:dyDescent="0.2">
      <c r="A44" s="27">
        <v>38</v>
      </c>
      <c r="B44" s="28" t="s">
        <v>273</v>
      </c>
      <c r="C44" s="28" t="s">
        <v>274</v>
      </c>
      <c r="D44" s="28" t="s">
        <v>275</v>
      </c>
      <c r="E44" s="29">
        <v>3975</v>
      </c>
      <c r="F44" s="30">
        <v>97.701525000000004</v>
      </c>
      <c r="G44" s="31">
        <v>1.014076E-2</v>
      </c>
      <c r="H44" s="24" t="s">
        <v>146</v>
      </c>
    </row>
    <row r="45" spans="1:8" x14ac:dyDescent="0.2">
      <c r="A45" s="27">
        <v>39</v>
      </c>
      <c r="B45" s="28" t="s">
        <v>642</v>
      </c>
      <c r="C45" s="28" t="s">
        <v>643</v>
      </c>
      <c r="D45" s="28" t="s">
        <v>33</v>
      </c>
      <c r="E45" s="29">
        <v>96410</v>
      </c>
      <c r="F45" s="30">
        <v>97.566919999999996</v>
      </c>
      <c r="G45" s="31">
        <v>1.012679E-2</v>
      </c>
      <c r="H45" s="24" t="s">
        <v>146</v>
      </c>
    </row>
    <row r="46" spans="1:8" x14ac:dyDescent="0.2">
      <c r="A46" s="27">
        <v>40</v>
      </c>
      <c r="B46" s="28" t="s">
        <v>28</v>
      </c>
      <c r="C46" s="28" t="s">
        <v>29</v>
      </c>
      <c r="D46" s="28" t="s">
        <v>30</v>
      </c>
      <c r="E46" s="29">
        <v>33271</v>
      </c>
      <c r="F46" s="30">
        <v>97.3675815</v>
      </c>
      <c r="G46" s="31">
        <v>1.01061E-2</v>
      </c>
      <c r="H46" s="24" t="s">
        <v>146</v>
      </c>
    </row>
    <row r="47" spans="1:8" x14ac:dyDescent="0.2">
      <c r="A47" s="27">
        <v>41</v>
      </c>
      <c r="B47" s="28" t="s">
        <v>726</v>
      </c>
      <c r="C47" s="28" t="s">
        <v>727</v>
      </c>
      <c r="D47" s="28" t="s">
        <v>280</v>
      </c>
      <c r="E47" s="29">
        <v>5228</v>
      </c>
      <c r="F47" s="30">
        <v>97.162379999999999</v>
      </c>
      <c r="G47" s="31">
        <v>1.00848E-2</v>
      </c>
      <c r="H47" s="24" t="s">
        <v>146</v>
      </c>
    </row>
    <row r="48" spans="1:8" x14ac:dyDescent="0.2">
      <c r="A48" s="27">
        <v>42</v>
      </c>
      <c r="B48" s="28" t="s">
        <v>530</v>
      </c>
      <c r="C48" s="28" t="s">
        <v>531</v>
      </c>
      <c r="D48" s="28" t="s">
        <v>195</v>
      </c>
      <c r="E48" s="29">
        <v>5801</v>
      </c>
      <c r="F48" s="30">
        <v>97.1348445</v>
      </c>
      <c r="G48" s="31">
        <v>1.0081939999999999E-2</v>
      </c>
      <c r="H48" s="24" t="s">
        <v>146</v>
      </c>
    </row>
    <row r="49" spans="1:8" x14ac:dyDescent="0.2">
      <c r="A49" s="27">
        <v>43</v>
      </c>
      <c r="B49" s="28" t="s">
        <v>329</v>
      </c>
      <c r="C49" s="28" t="s">
        <v>330</v>
      </c>
      <c r="D49" s="28" t="s">
        <v>195</v>
      </c>
      <c r="E49" s="29">
        <v>5149</v>
      </c>
      <c r="F49" s="30">
        <v>96.790902000000003</v>
      </c>
      <c r="G49" s="31">
        <v>1.004624E-2</v>
      </c>
      <c r="H49" s="24" t="s">
        <v>146</v>
      </c>
    </row>
    <row r="50" spans="1:8" x14ac:dyDescent="0.2">
      <c r="A50" s="27">
        <v>44</v>
      </c>
      <c r="B50" s="28" t="s">
        <v>335</v>
      </c>
      <c r="C50" s="28" t="s">
        <v>336</v>
      </c>
      <c r="D50" s="28" t="s">
        <v>195</v>
      </c>
      <c r="E50" s="29">
        <v>2351</v>
      </c>
      <c r="F50" s="30">
        <v>96.682524000000001</v>
      </c>
      <c r="G50" s="31">
        <v>1.0034990000000001E-2</v>
      </c>
      <c r="H50" s="24" t="s">
        <v>146</v>
      </c>
    </row>
    <row r="51" spans="1:8" x14ac:dyDescent="0.2">
      <c r="A51" s="27">
        <v>45</v>
      </c>
      <c r="B51" s="28" t="s">
        <v>532</v>
      </c>
      <c r="C51" s="28" t="s">
        <v>533</v>
      </c>
      <c r="D51" s="28" t="s">
        <v>275</v>
      </c>
      <c r="E51" s="29">
        <v>3224</v>
      </c>
      <c r="F51" s="30">
        <v>96.392764</v>
      </c>
      <c r="G51" s="31">
        <v>1.000492E-2</v>
      </c>
      <c r="H51" s="24" t="s">
        <v>146</v>
      </c>
    </row>
    <row r="52" spans="1:8" x14ac:dyDescent="0.2">
      <c r="A52" s="27">
        <v>46</v>
      </c>
      <c r="B52" s="28" t="s">
        <v>775</v>
      </c>
      <c r="C52" s="28" t="s">
        <v>776</v>
      </c>
      <c r="D52" s="28" t="s">
        <v>99</v>
      </c>
      <c r="E52" s="29">
        <v>14879</v>
      </c>
      <c r="F52" s="30">
        <v>95.686848999999995</v>
      </c>
      <c r="G52" s="31">
        <v>9.9316500000000002E-3</v>
      </c>
      <c r="H52" s="24" t="s">
        <v>146</v>
      </c>
    </row>
    <row r="53" spans="1:8" x14ac:dyDescent="0.2">
      <c r="A53" s="27">
        <v>47</v>
      </c>
      <c r="B53" s="28" t="s">
        <v>425</v>
      </c>
      <c r="C53" s="28" t="s">
        <v>426</v>
      </c>
      <c r="D53" s="28" t="s">
        <v>139</v>
      </c>
      <c r="E53" s="29">
        <v>70783</v>
      </c>
      <c r="F53" s="30">
        <v>95.288074600000002</v>
      </c>
      <c r="G53" s="31">
        <v>9.8902599999999997E-3</v>
      </c>
      <c r="H53" s="24" t="s">
        <v>146</v>
      </c>
    </row>
    <row r="54" spans="1:8" x14ac:dyDescent="0.2">
      <c r="A54" s="27">
        <v>48</v>
      </c>
      <c r="B54" s="28" t="s">
        <v>11</v>
      </c>
      <c r="C54" s="28" t="s">
        <v>12</v>
      </c>
      <c r="D54" s="28" t="s">
        <v>13</v>
      </c>
      <c r="E54" s="29">
        <v>2669</v>
      </c>
      <c r="F54" s="30">
        <v>95.213905999999994</v>
      </c>
      <c r="G54" s="31">
        <v>9.8825600000000003E-3</v>
      </c>
      <c r="H54" s="24" t="s">
        <v>146</v>
      </c>
    </row>
    <row r="55" spans="1:8" x14ac:dyDescent="0.2">
      <c r="A55" s="27">
        <v>49</v>
      </c>
      <c r="B55" s="28" t="s">
        <v>20</v>
      </c>
      <c r="C55" s="28" t="s">
        <v>21</v>
      </c>
      <c r="D55" s="28" t="s">
        <v>22</v>
      </c>
      <c r="E55" s="29">
        <v>29381</v>
      </c>
      <c r="F55" s="30">
        <v>95.19444</v>
      </c>
      <c r="G55" s="31">
        <v>9.8805400000000002E-3</v>
      </c>
      <c r="H55" s="24" t="s">
        <v>146</v>
      </c>
    </row>
    <row r="56" spans="1:8" x14ac:dyDescent="0.2">
      <c r="A56" s="27">
        <v>50</v>
      </c>
      <c r="B56" s="28" t="s">
        <v>26</v>
      </c>
      <c r="C56" s="28" t="s">
        <v>27</v>
      </c>
      <c r="D56" s="28" t="s">
        <v>22</v>
      </c>
      <c r="E56" s="29">
        <v>31516</v>
      </c>
      <c r="F56" s="30">
        <v>95.068014000000005</v>
      </c>
      <c r="G56" s="31">
        <v>9.86742E-3</v>
      </c>
      <c r="H56" s="24" t="s">
        <v>146</v>
      </c>
    </row>
    <row r="57" spans="1:8" x14ac:dyDescent="0.2">
      <c r="A57" s="27">
        <v>51</v>
      </c>
      <c r="B57" s="28" t="s">
        <v>676</v>
      </c>
      <c r="C57" s="28" t="s">
        <v>677</v>
      </c>
      <c r="D57" s="28" t="s">
        <v>22</v>
      </c>
      <c r="E57" s="29">
        <v>117843</v>
      </c>
      <c r="F57" s="30">
        <v>94.922536500000007</v>
      </c>
      <c r="G57" s="31">
        <v>9.8523199999999995E-3</v>
      </c>
      <c r="H57" s="24" t="s">
        <v>146</v>
      </c>
    </row>
    <row r="58" spans="1:8" x14ac:dyDescent="0.2">
      <c r="A58" s="27">
        <v>52</v>
      </c>
      <c r="B58" s="28" t="s">
        <v>31</v>
      </c>
      <c r="C58" s="28" t="s">
        <v>32</v>
      </c>
      <c r="D58" s="28" t="s">
        <v>33</v>
      </c>
      <c r="E58" s="29">
        <v>7570</v>
      </c>
      <c r="F58" s="30">
        <v>94.836960000000005</v>
      </c>
      <c r="G58" s="31">
        <v>9.8434400000000002E-3</v>
      </c>
      <c r="H58" s="24" t="s">
        <v>146</v>
      </c>
    </row>
    <row r="59" spans="1:8" x14ac:dyDescent="0.2">
      <c r="A59" s="27">
        <v>53</v>
      </c>
      <c r="B59" s="28" t="s">
        <v>445</v>
      </c>
      <c r="C59" s="28" t="s">
        <v>446</v>
      </c>
      <c r="D59" s="28" t="s">
        <v>447</v>
      </c>
      <c r="E59" s="29">
        <v>15912</v>
      </c>
      <c r="F59" s="30">
        <v>94.565016</v>
      </c>
      <c r="G59" s="31">
        <v>9.8152099999999996E-3</v>
      </c>
      <c r="H59" s="24" t="s">
        <v>146</v>
      </c>
    </row>
    <row r="60" spans="1:8" x14ac:dyDescent="0.2">
      <c r="A60" s="27">
        <v>54</v>
      </c>
      <c r="B60" s="28" t="s">
        <v>777</v>
      </c>
      <c r="C60" s="28" t="s">
        <v>778</v>
      </c>
      <c r="D60" s="28" t="s">
        <v>779</v>
      </c>
      <c r="E60" s="29">
        <v>21370</v>
      </c>
      <c r="F60" s="30">
        <v>94.327179999999998</v>
      </c>
      <c r="G60" s="31">
        <v>9.7905200000000005E-3</v>
      </c>
      <c r="H60" s="24" t="s">
        <v>146</v>
      </c>
    </row>
    <row r="61" spans="1:8" x14ac:dyDescent="0.2">
      <c r="A61" s="27">
        <v>55</v>
      </c>
      <c r="B61" s="28" t="s">
        <v>357</v>
      </c>
      <c r="C61" s="28" t="s">
        <v>358</v>
      </c>
      <c r="D61" s="28" t="s">
        <v>275</v>
      </c>
      <c r="E61" s="29">
        <v>13124</v>
      </c>
      <c r="F61" s="30">
        <v>93.980964</v>
      </c>
      <c r="G61" s="31">
        <v>9.7545900000000005E-3</v>
      </c>
      <c r="H61" s="24" t="s">
        <v>146</v>
      </c>
    </row>
    <row r="62" spans="1:8" x14ac:dyDescent="0.2">
      <c r="A62" s="27">
        <v>56</v>
      </c>
      <c r="B62" s="28" t="s">
        <v>48</v>
      </c>
      <c r="C62" s="28" t="s">
        <v>49</v>
      </c>
      <c r="D62" s="28" t="s">
        <v>33</v>
      </c>
      <c r="E62" s="29">
        <v>12133</v>
      </c>
      <c r="F62" s="30">
        <v>93.775957000000005</v>
      </c>
      <c r="G62" s="31">
        <v>9.7333100000000002E-3</v>
      </c>
      <c r="H62" s="24" t="s">
        <v>146</v>
      </c>
    </row>
    <row r="63" spans="1:8" ht="25.5" x14ac:dyDescent="0.2">
      <c r="A63" s="27">
        <v>57</v>
      </c>
      <c r="B63" s="28" t="s">
        <v>780</v>
      </c>
      <c r="C63" s="28" t="s">
        <v>781</v>
      </c>
      <c r="D63" s="28" t="s">
        <v>198</v>
      </c>
      <c r="E63" s="29">
        <v>1679</v>
      </c>
      <c r="F63" s="30">
        <v>93.649583000000007</v>
      </c>
      <c r="G63" s="31">
        <v>9.7201900000000001E-3</v>
      </c>
      <c r="H63" s="24" t="s">
        <v>146</v>
      </c>
    </row>
    <row r="64" spans="1:8" x14ac:dyDescent="0.2">
      <c r="A64" s="27">
        <v>58</v>
      </c>
      <c r="B64" s="28" t="s">
        <v>242</v>
      </c>
      <c r="C64" s="28" t="s">
        <v>243</v>
      </c>
      <c r="D64" s="28" t="s">
        <v>33</v>
      </c>
      <c r="E64" s="29">
        <v>80966</v>
      </c>
      <c r="F64" s="30">
        <v>93.507633400000003</v>
      </c>
      <c r="G64" s="31">
        <v>9.7054600000000008E-3</v>
      </c>
      <c r="H64" s="24" t="s">
        <v>146</v>
      </c>
    </row>
    <row r="65" spans="1:8" x14ac:dyDescent="0.2">
      <c r="A65" s="27">
        <v>59</v>
      </c>
      <c r="B65" s="28" t="s">
        <v>782</v>
      </c>
      <c r="C65" s="28" t="s">
        <v>783</v>
      </c>
      <c r="D65" s="28" t="s">
        <v>22</v>
      </c>
      <c r="E65" s="29">
        <v>12457</v>
      </c>
      <c r="F65" s="30">
        <v>93.221959499999997</v>
      </c>
      <c r="G65" s="31">
        <v>9.67581E-3</v>
      </c>
      <c r="H65" s="24" t="s">
        <v>146</v>
      </c>
    </row>
    <row r="66" spans="1:8" ht="25.5" x14ac:dyDescent="0.2">
      <c r="A66" s="27">
        <v>60</v>
      </c>
      <c r="B66" s="28" t="s">
        <v>337</v>
      </c>
      <c r="C66" s="28" t="s">
        <v>338</v>
      </c>
      <c r="D66" s="28" t="s">
        <v>198</v>
      </c>
      <c r="E66" s="29">
        <v>5334</v>
      </c>
      <c r="F66" s="30">
        <v>93.022293000000005</v>
      </c>
      <c r="G66" s="31">
        <v>9.6550899999999999E-3</v>
      </c>
      <c r="H66" s="24" t="s">
        <v>146</v>
      </c>
    </row>
    <row r="67" spans="1:8" x14ac:dyDescent="0.2">
      <c r="A67" s="27">
        <v>61</v>
      </c>
      <c r="B67" s="28" t="s">
        <v>784</v>
      </c>
      <c r="C67" s="28" t="s">
        <v>785</v>
      </c>
      <c r="D67" s="28" t="s">
        <v>280</v>
      </c>
      <c r="E67" s="29">
        <v>10979</v>
      </c>
      <c r="F67" s="30">
        <v>92.821955500000001</v>
      </c>
      <c r="G67" s="31">
        <v>9.6342900000000002E-3</v>
      </c>
      <c r="H67" s="24" t="s">
        <v>146</v>
      </c>
    </row>
    <row r="68" spans="1:8" x14ac:dyDescent="0.2">
      <c r="A68" s="27">
        <v>62</v>
      </c>
      <c r="B68" s="28" t="s">
        <v>327</v>
      </c>
      <c r="C68" s="28" t="s">
        <v>328</v>
      </c>
      <c r="D68" s="28" t="s">
        <v>33</v>
      </c>
      <c r="E68" s="29">
        <v>5462</v>
      </c>
      <c r="F68" s="30">
        <v>92.785724999999999</v>
      </c>
      <c r="G68" s="31">
        <v>9.63053E-3</v>
      </c>
      <c r="H68" s="24" t="s">
        <v>146</v>
      </c>
    </row>
    <row r="69" spans="1:8" ht="25.5" x14ac:dyDescent="0.2">
      <c r="A69" s="27">
        <v>63</v>
      </c>
      <c r="B69" s="28" t="s">
        <v>639</v>
      </c>
      <c r="C69" s="28" t="s">
        <v>640</v>
      </c>
      <c r="D69" s="28" t="s">
        <v>641</v>
      </c>
      <c r="E69" s="29">
        <v>4052</v>
      </c>
      <c r="F69" s="30">
        <v>92.701656</v>
      </c>
      <c r="G69" s="31">
        <v>9.6218099999999997E-3</v>
      </c>
      <c r="H69" s="24" t="s">
        <v>146</v>
      </c>
    </row>
    <row r="70" spans="1:8" x14ac:dyDescent="0.2">
      <c r="A70" s="27">
        <v>64</v>
      </c>
      <c r="B70" s="28" t="s">
        <v>347</v>
      </c>
      <c r="C70" s="28" t="s">
        <v>348</v>
      </c>
      <c r="D70" s="28" t="s">
        <v>349</v>
      </c>
      <c r="E70" s="29">
        <v>20643</v>
      </c>
      <c r="F70" s="30">
        <v>92.377425000000002</v>
      </c>
      <c r="G70" s="31">
        <v>9.5881500000000001E-3</v>
      </c>
      <c r="H70" s="24" t="s">
        <v>146</v>
      </c>
    </row>
    <row r="71" spans="1:8" ht="25.5" x14ac:dyDescent="0.2">
      <c r="A71" s="27">
        <v>65</v>
      </c>
      <c r="B71" s="28" t="s">
        <v>786</v>
      </c>
      <c r="C71" s="28" t="s">
        <v>787</v>
      </c>
      <c r="D71" s="28" t="s">
        <v>198</v>
      </c>
      <c r="E71" s="29">
        <v>2823</v>
      </c>
      <c r="F71" s="30">
        <v>92.286693</v>
      </c>
      <c r="G71" s="31">
        <v>9.5787400000000005E-3</v>
      </c>
      <c r="H71" s="24" t="s">
        <v>146</v>
      </c>
    </row>
    <row r="72" spans="1:8" x14ac:dyDescent="0.2">
      <c r="A72" s="27">
        <v>66</v>
      </c>
      <c r="B72" s="28" t="s">
        <v>359</v>
      </c>
      <c r="C72" s="28" t="s">
        <v>360</v>
      </c>
      <c r="D72" s="28" t="s">
        <v>30</v>
      </c>
      <c r="E72" s="29">
        <v>2331</v>
      </c>
      <c r="F72" s="30">
        <v>91.766807999999997</v>
      </c>
      <c r="G72" s="31">
        <v>9.5247800000000001E-3</v>
      </c>
      <c r="H72" s="24" t="s">
        <v>146</v>
      </c>
    </row>
    <row r="73" spans="1:8" x14ac:dyDescent="0.2">
      <c r="A73" s="27">
        <v>67</v>
      </c>
      <c r="B73" s="28" t="s">
        <v>788</v>
      </c>
      <c r="C73" s="28" t="s">
        <v>789</v>
      </c>
      <c r="D73" s="28" t="s">
        <v>22</v>
      </c>
      <c r="E73" s="29">
        <v>9195</v>
      </c>
      <c r="F73" s="30">
        <v>91.724722499999999</v>
      </c>
      <c r="G73" s="31">
        <v>9.52041E-3</v>
      </c>
      <c r="H73" s="24" t="s">
        <v>146</v>
      </c>
    </row>
    <row r="74" spans="1:8" x14ac:dyDescent="0.2">
      <c r="A74" s="27">
        <v>68</v>
      </c>
      <c r="B74" s="28" t="s">
        <v>790</v>
      </c>
      <c r="C74" s="28" t="s">
        <v>791</v>
      </c>
      <c r="D74" s="28" t="s">
        <v>39</v>
      </c>
      <c r="E74" s="29">
        <v>5850</v>
      </c>
      <c r="F74" s="30">
        <v>91.622699999999995</v>
      </c>
      <c r="G74" s="31">
        <v>9.5098200000000004E-3</v>
      </c>
      <c r="H74" s="24" t="s">
        <v>146</v>
      </c>
    </row>
    <row r="75" spans="1:8" ht="25.5" x14ac:dyDescent="0.2">
      <c r="A75" s="27">
        <v>69</v>
      </c>
      <c r="B75" s="28" t="s">
        <v>104</v>
      </c>
      <c r="C75" s="28" t="s">
        <v>105</v>
      </c>
      <c r="D75" s="28" t="s">
        <v>25</v>
      </c>
      <c r="E75" s="29">
        <v>17856</v>
      </c>
      <c r="F75" s="30">
        <v>91.565567999999999</v>
      </c>
      <c r="G75" s="31">
        <v>9.5038899999999992E-3</v>
      </c>
      <c r="H75" s="24" t="s">
        <v>146</v>
      </c>
    </row>
    <row r="76" spans="1:8" x14ac:dyDescent="0.2">
      <c r="A76" s="27">
        <v>70</v>
      </c>
      <c r="B76" s="28" t="s">
        <v>654</v>
      </c>
      <c r="C76" s="28" t="s">
        <v>655</v>
      </c>
      <c r="D76" s="28" t="s">
        <v>16</v>
      </c>
      <c r="E76" s="29">
        <v>71085</v>
      </c>
      <c r="F76" s="30">
        <v>91.337116499999993</v>
      </c>
      <c r="G76" s="31">
        <v>9.4801799999999995E-3</v>
      </c>
      <c r="H76" s="24" t="s">
        <v>146</v>
      </c>
    </row>
    <row r="77" spans="1:8" x14ac:dyDescent="0.2">
      <c r="A77" s="27">
        <v>71</v>
      </c>
      <c r="B77" s="28" t="s">
        <v>792</v>
      </c>
      <c r="C77" s="28" t="s">
        <v>793</v>
      </c>
      <c r="D77" s="28" t="s">
        <v>208</v>
      </c>
      <c r="E77" s="29">
        <v>1341</v>
      </c>
      <c r="F77" s="30">
        <v>91.328805000000003</v>
      </c>
      <c r="G77" s="31">
        <v>9.4793099999999995E-3</v>
      </c>
      <c r="H77" s="24" t="s">
        <v>146</v>
      </c>
    </row>
    <row r="78" spans="1:8" x14ac:dyDescent="0.2">
      <c r="A78" s="27">
        <v>72</v>
      </c>
      <c r="B78" s="28" t="s">
        <v>648</v>
      </c>
      <c r="C78" s="28" t="s">
        <v>649</v>
      </c>
      <c r="D78" s="28" t="s">
        <v>33</v>
      </c>
      <c r="E78" s="29">
        <v>97141</v>
      </c>
      <c r="F78" s="30">
        <v>90.603410699999998</v>
      </c>
      <c r="G78" s="31">
        <v>9.4040200000000008E-3</v>
      </c>
      <c r="H78" s="24" t="s">
        <v>146</v>
      </c>
    </row>
    <row r="79" spans="1:8" x14ac:dyDescent="0.2">
      <c r="A79" s="27">
        <v>73</v>
      </c>
      <c r="B79" s="28" t="s">
        <v>269</v>
      </c>
      <c r="C79" s="28" t="s">
        <v>270</v>
      </c>
      <c r="D79" s="28" t="s">
        <v>120</v>
      </c>
      <c r="E79" s="29">
        <v>16639</v>
      </c>
      <c r="F79" s="30">
        <v>90.474562500000005</v>
      </c>
      <c r="G79" s="31">
        <v>9.3906500000000004E-3</v>
      </c>
      <c r="H79" s="24" t="s">
        <v>146</v>
      </c>
    </row>
    <row r="80" spans="1:8" x14ac:dyDescent="0.2">
      <c r="A80" s="27">
        <v>74</v>
      </c>
      <c r="B80" s="28" t="s">
        <v>278</v>
      </c>
      <c r="C80" s="28" t="s">
        <v>279</v>
      </c>
      <c r="D80" s="28" t="s">
        <v>280</v>
      </c>
      <c r="E80" s="29">
        <v>14664</v>
      </c>
      <c r="F80" s="30">
        <v>90.330240000000003</v>
      </c>
      <c r="G80" s="31">
        <v>9.3756699999999991E-3</v>
      </c>
      <c r="H80" s="24" t="s">
        <v>146</v>
      </c>
    </row>
    <row r="81" spans="1:8" x14ac:dyDescent="0.2">
      <c r="A81" s="27">
        <v>75</v>
      </c>
      <c r="B81" s="28" t="s">
        <v>267</v>
      </c>
      <c r="C81" s="28" t="s">
        <v>268</v>
      </c>
      <c r="D81" s="28" t="s">
        <v>120</v>
      </c>
      <c r="E81" s="29">
        <v>21263</v>
      </c>
      <c r="F81" s="30">
        <v>89.836174999999997</v>
      </c>
      <c r="G81" s="31">
        <v>9.3243900000000001E-3</v>
      </c>
      <c r="H81" s="24" t="s">
        <v>146</v>
      </c>
    </row>
    <row r="82" spans="1:8" x14ac:dyDescent="0.2">
      <c r="A82" s="27">
        <v>76</v>
      </c>
      <c r="B82" s="28" t="s">
        <v>435</v>
      </c>
      <c r="C82" s="28" t="s">
        <v>436</v>
      </c>
      <c r="D82" s="28" t="s">
        <v>195</v>
      </c>
      <c r="E82" s="29">
        <v>5187</v>
      </c>
      <c r="F82" s="30">
        <v>89.499091500000006</v>
      </c>
      <c r="G82" s="31">
        <v>9.2893999999999997E-3</v>
      </c>
      <c r="H82" s="24" t="s">
        <v>146</v>
      </c>
    </row>
    <row r="83" spans="1:8" x14ac:dyDescent="0.2">
      <c r="A83" s="27">
        <v>77</v>
      </c>
      <c r="B83" s="28" t="s">
        <v>339</v>
      </c>
      <c r="C83" s="28" t="s">
        <v>340</v>
      </c>
      <c r="D83" s="28" t="s">
        <v>33</v>
      </c>
      <c r="E83" s="29">
        <v>9076</v>
      </c>
      <c r="F83" s="30">
        <v>89.498435999999998</v>
      </c>
      <c r="G83" s="31">
        <v>9.2893300000000002E-3</v>
      </c>
      <c r="H83" s="24" t="s">
        <v>146</v>
      </c>
    </row>
    <row r="84" spans="1:8" x14ac:dyDescent="0.2">
      <c r="A84" s="27">
        <v>78</v>
      </c>
      <c r="B84" s="28" t="s">
        <v>78</v>
      </c>
      <c r="C84" s="28" t="s">
        <v>79</v>
      </c>
      <c r="D84" s="28" t="s">
        <v>80</v>
      </c>
      <c r="E84" s="29">
        <v>2066</v>
      </c>
      <c r="F84" s="30">
        <v>89.341070999999999</v>
      </c>
      <c r="G84" s="31">
        <v>9.273E-3</v>
      </c>
      <c r="H84" s="24" t="s">
        <v>146</v>
      </c>
    </row>
    <row r="85" spans="1:8" x14ac:dyDescent="0.2">
      <c r="A85" s="27">
        <v>79</v>
      </c>
      <c r="B85" s="28" t="s">
        <v>794</v>
      </c>
      <c r="C85" s="28" t="s">
        <v>795</v>
      </c>
      <c r="D85" s="28" t="s">
        <v>83</v>
      </c>
      <c r="E85" s="29">
        <v>63197</v>
      </c>
      <c r="F85" s="30">
        <v>89.2720822</v>
      </c>
      <c r="G85" s="31">
        <v>9.2658399999999991E-3</v>
      </c>
      <c r="H85" s="24" t="s">
        <v>146</v>
      </c>
    </row>
    <row r="86" spans="1:8" ht="25.5" x14ac:dyDescent="0.2">
      <c r="A86" s="27">
        <v>80</v>
      </c>
      <c r="B86" s="28" t="s">
        <v>345</v>
      </c>
      <c r="C86" s="28" t="s">
        <v>346</v>
      </c>
      <c r="D86" s="28" t="s">
        <v>198</v>
      </c>
      <c r="E86" s="29">
        <v>7330</v>
      </c>
      <c r="F86" s="30">
        <v>89.231755000000007</v>
      </c>
      <c r="G86" s="31">
        <v>9.2616499999999997E-3</v>
      </c>
      <c r="H86" s="24" t="s">
        <v>146</v>
      </c>
    </row>
    <row r="87" spans="1:8" x14ac:dyDescent="0.2">
      <c r="A87" s="27">
        <v>81</v>
      </c>
      <c r="B87" s="28" t="s">
        <v>69</v>
      </c>
      <c r="C87" s="28" t="s">
        <v>70</v>
      </c>
      <c r="D87" s="28" t="s">
        <v>22</v>
      </c>
      <c r="E87" s="29">
        <v>24350</v>
      </c>
      <c r="F87" s="30">
        <v>88.755750000000006</v>
      </c>
      <c r="G87" s="31">
        <v>9.21225E-3</v>
      </c>
      <c r="H87" s="24" t="s">
        <v>146</v>
      </c>
    </row>
    <row r="88" spans="1:8" x14ac:dyDescent="0.2">
      <c r="A88" s="27">
        <v>82</v>
      </c>
      <c r="B88" s="28" t="s">
        <v>97</v>
      </c>
      <c r="C88" s="28" t="s">
        <v>98</v>
      </c>
      <c r="D88" s="28" t="s">
        <v>99</v>
      </c>
      <c r="E88" s="29">
        <v>49766</v>
      </c>
      <c r="F88" s="30">
        <v>88.145539200000002</v>
      </c>
      <c r="G88" s="31">
        <v>9.1489099999999997E-3</v>
      </c>
      <c r="H88" s="24" t="s">
        <v>146</v>
      </c>
    </row>
    <row r="89" spans="1:8" ht="25.5" x14ac:dyDescent="0.2">
      <c r="A89" s="27">
        <v>83</v>
      </c>
      <c r="B89" s="28" t="s">
        <v>73</v>
      </c>
      <c r="C89" s="28" t="s">
        <v>74</v>
      </c>
      <c r="D89" s="28" t="s">
        <v>75</v>
      </c>
      <c r="E89" s="29">
        <v>7999</v>
      </c>
      <c r="F89" s="30">
        <v>87.937006499999995</v>
      </c>
      <c r="G89" s="31">
        <v>9.1272699999999998E-3</v>
      </c>
      <c r="H89" s="24" t="s">
        <v>146</v>
      </c>
    </row>
    <row r="90" spans="1:8" x14ac:dyDescent="0.2">
      <c r="A90" s="27">
        <v>84</v>
      </c>
      <c r="B90" s="28" t="s">
        <v>71</v>
      </c>
      <c r="C90" s="28" t="s">
        <v>72</v>
      </c>
      <c r="D90" s="28" t="s">
        <v>36</v>
      </c>
      <c r="E90" s="29">
        <v>1445</v>
      </c>
      <c r="F90" s="30">
        <v>87.759907499999997</v>
      </c>
      <c r="G90" s="31">
        <v>9.1088899999999997E-3</v>
      </c>
      <c r="H90" s="24" t="s">
        <v>146</v>
      </c>
    </row>
    <row r="91" spans="1:8" x14ac:dyDescent="0.2">
      <c r="A91" s="27">
        <v>85</v>
      </c>
      <c r="B91" s="28" t="s">
        <v>524</v>
      </c>
      <c r="C91" s="28" t="s">
        <v>525</v>
      </c>
      <c r="D91" s="28" t="s">
        <v>226</v>
      </c>
      <c r="E91" s="29">
        <v>6157</v>
      </c>
      <c r="F91" s="30">
        <v>87.67568</v>
      </c>
      <c r="G91" s="31">
        <v>9.1001399999999996E-3</v>
      </c>
      <c r="H91" s="24" t="s">
        <v>146</v>
      </c>
    </row>
    <row r="92" spans="1:8" x14ac:dyDescent="0.2">
      <c r="A92" s="27">
        <v>86</v>
      </c>
      <c r="B92" s="28" t="s">
        <v>637</v>
      </c>
      <c r="C92" s="28" t="s">
        <v>638</v>
      </c>
      <c r="D92" s="28" t="s">
        <v>47</v>
      </c>
      <c r="E92" s="29">
        <v>11740</v>
      </c>
      <c r="F92" s="30">
        <v>87.468869999999995</v>
      </c>
      <c r="G92" s="31">
        <v>9.0786800000000004E-3</v>
      </c>
      <c r="H92" s="24" t="s">
        <v>146</v>
      </c>
    </row>
    <row r="93" spans="1:8" x14ac:dyDescent="0.2">
      <c r="A93" s="27">
        <v>87</v>
      </c>
      <c r="B93" s="28" t="s">
        <v>234</v>
      </c>
      <c r="C93" s="28" t="s">
        <v>235</v>
      </c>
      <c r="D93" s="28" t="s">
        <v>205</v>
      </c>
      <c r="E93" s="29">
        <v>1125</v>
      </c>
      <c r="F93" s="30">
        <v>86.891625000000005</v>
      </c>
      <c r="G93" s="31">
        <v>9.0187600000000007E-3</v>
      </c>
      <c r="H93" s="24" t="s">
        <v>146</v>
      </c>
    </row>
    <row r="94" spans="1:8" x14ac:dyDescent="0.2">
      <c r="A94" s="27">
        <v>88</v>
      </c>
      <c r="B94" s="28" t="s">
        <v>43</v>
      </c>
      <c r="C94" s="28" t="s">
        <v>44</v>
      </c>
      <c r="D94" s="28" t="s">
        <v>16</v>
      </c>
      <c r="E94" s="29">
        <v>32949</v>
      </c>
      <c r="F94" s="30">
        <v>86.029838999999996</v>
      </c>
      <c r="G94" s="31">
        <v>8.9293199999999993E-3</v>
      </c>
      <c r="H94" s="24" t="s">
        <v>146</v>
      </c>
    </row>
    <row r="95" spans="1:8" x14ac:dyDescent="0.2">
      <c r="A95" s="27">
        <v>89</v>
      </c>
      <c r="B95" s="28" t="s">
        <v>796</v>
      </c>
      <c r="C95" s="28" t="s">
        <v>797</v>
      </c>
      <c r="D95" s="28" t="s">
        <v>47</v>
      </c>
      <c r="E95" s="29">
        <v>7078</v>
      </c>
      <c r="F95" s="30">
        <v>85.254509999999996</v>
      </c>
      <c r="G95" s="31">
        <v>8.8488400000000002E-3</v>
      </c>
      <c r="H95" s="24" t="s">
        <v>146</v>
      </c>
    </row>
    <row r="96" spans="1:8" x14ac:dyDescent="0.2">
      <c r="A96" s="27">
        <v>90</v>
      </c>
      <c r="B96" s="28" t="s">
        <v>341</v>
      </c>
      <c r="C96" s="28" t="s">
        <v>342</v>
      </c>
      <c r="D96" s="28" t="s">
        <v>33</v>
      </c>
      <c r="E96" s="29">
        <v>39797</v>
      </c>
      <c r="F96" s="30">
        <v>84.922818300000003</v>
      </c>
      <c r="G96" s="31">
        <v>8.8144199999999999E-3</v>
      </c>
      <c r="H96" s="24" t="s">
        <v>146</v>
      </c>
    </row>
    <row r="97" spans="1:8" x14ac:dyDescent="0.2">
      <c r="A97" s="27">
        <v>91</v>
      </c>
      <c r="B97" s="28" t="s">
        <v>118</v>
      </c>
      <c r="C97" s="28" t="s">
        <v>119</v>
      </c>
      <c r="D97" s="28" t="s">
        <v>120</v>
      </c>
      <c r="E97" s="29">
        <v>18796</v>
      </c>
      <c r="F97" s="30">
        <v>84.553805999999994</v>
      </c>
      <c r="G97" s="31">
        <v>8.7761100000000002E-3</v>
      </c>
      <c r="H97" s="24" t="s">
        <v>146</v>
      </c>
    </row>
    <row r="98" spans="1:8" x14ac:dyDescent="0.2">
      <c r="A98" s="27">
        <v>92</v>
      </c>
      <c r="B98" s="28" t="s">
        <v>131</v>
      </c>
      <c r="C98" s="28" t="s">
        <v>132</v>
      </c>
      <c r="D98" s="28" t="s">
        <v>36</v>
      </c>
      <c r="E98" s="29">
        <v>40054</v>
      </c>
      <c r="F98" s="30">
        <v>83.348368600000001</v>
      </c>
      <c r="G98" s="31">
        <v>8.6510000000000007E-3</v>
      </c>
      <c r="H98" s="24" t="s">
        <v>146</v>
      </c>
    </row>
    <row r="99" spans="1:8" x14ac:dyDescent="0.2">
      <c r="A99" s="27">
        <v>93</v>
      </c>
      <c r="B99" s="28" t="s">
        <v>343</v>
      </c>
      <c r="C99" s="28" t="s">
        <v>344</v>
      </c>
      <c r="D99" s="28" t="s">
        <v>226</v>
      </c>
      <c r="E99" s="29">
        <v>15455</v>
      </c>
      <c r="F99" s="30">
        <v>82.954712499999999</v>
      </c>
      <c r="G99" s="31">
        <v>8.6101400000000005E-3</v>
      </c>
      <c r="H99" s="24" t="s">
        <v>146</v>
      </c>
    </row>
    <row r="100" spans="1:8" x14ac:dyDescent="0.2">
      <c r="A100" s="27">
        <v>94</v>
      </c>
      <c r="B100" s="28" t="s">
        <v>106</v>
      </c>
      <c r="C100" s="28" t="s">
        <v>107</v>
      </c>
      <c r="D100" s="28" t="s">
        <v>36</v>
      </c>
      <c r="E100" s="29">
        <v>1411</v>
      </c>
      <c r="F100" s="30">
        <v>82.8913115</v>
      </c>
      <c r="G100" s="31">
        <v>8.6035599999999997E-3</v>
      </c>
      <c r="H100" s="24" t="s">
        <v>146</v>
      </c>
    </row>
    <row r="101" spans="1:8" x14ac:dyDescent="0.2">
      <c r="A101" s="27">
        <v>95</v>
      </c>
      <c r="B101" s="28" t="s">
        <v>798</v>
      </c>
      <c r="C101" s="28" t="s">
        <v>799</v>
      </c>
      <c r="D101" s="28" t="s">
        <v>83</v>
      </c>
      <c r="E101" s="29">
        <v>288</v>
      </c>
      <c r="F101" s="30">
        <v>82.739952000000002</v>
      </c>
      <c r="G101" s="31">
        <v>8.5878499999999993E-3</v>
      </c>
      <c r="H101" s="24" t="s">
        <v>146</v>
      </c>
    </row>
    <row r="102" spans="1:8" x14ac:dyDescent="0.2">
      <c r="A102" s="27">
        <v>96</v>
      </c>
      <c r="B102" s="28" t="s">
        <v>137</v>
      </c>
      <c r="C102" s="28" t="s">
        <v>138</v>
      </c>
      <c r="D102" s="28" t="s">
        <v>139</v>
      </c>
      <c r="E102" s="29">
        <v>10377</v>
      </c>
      <c r="F102" s="30">
        <v>82.139143500000003</v>
      </c>
      <c r="G102" s="31">
        <v>8.5254900000000002E-3</v>
      </c>
      <c r="H102" s="24" t="s">
        <v>146</v>
      </c>
    </row>
    <row r="103" spans="1:8" x14ac:dyDescent="0.2">
      <c r="A103" s="27">
        <v>97</v>
      </c>
      <c r="B103" s="28" t="s">
        <v>203</v>
      </c>
      <c r="C103" s="28" t="s">
        <v>204</v>
      </c>
      <c r="D103" s="28" t="s">
        <v>205</v>
      </c>
      <c r="E103" s="29">
        <v>1404</v>
      </c>
      <c r="F103" s="30">
        <v>80.774928000000003</v>
      </c>
      <c r="G103" s="31">
        <v>8.3838899999999997E-3</v>
      </c>
      <c r="H103" s="24" t="s">
        <v>146</v>
      </c>
    </row>
    <row r="104" spans="1:8" x14ac:dyDescent="0.2">
      <c r="A104" s="27">
        <v>98</v>
      </c>
      <c r="B104" s="28" t="s">
        <v>331</v>
      </c>
      <c r="C104" s="28" t="s">
        <v>332</v>
      </c>
      <c r="D104" s="28" t="s">
        <v>205</v>
      </c>
      <c r="E104" s="29">
        <v>36199</v>
      </c>
      <c r="F104" s="30">
        <v>79.764496500000007</v>
      </c>
      <c r="G104" s="31">
        <v>8.2790199999999998E-3</v>
      </c>
      <c r="H104" s="24" t="s">
        <v>146</v>
      </c>
    </row>
    <row r="105" spans="1:8" x14ac:dyDescent="0.2">
      <c r="A105" s="27">
        <v>99</v>
      </c>
      <c r="B105" s="28" t="s">
        <v>800</v>
      </c>
      <c r="C105" s="28" t="s">
        <v>801</v>
      </c>
      <c r="D105" s="28" t="s">
        <v>22</v>
      </c>
      <c r="E105" s="29">
        <v>15415</v>
      </c>
      <c r="F105" s="30">
        <v>78.400689999999997</v>
      </c>
      <c r="G105" s="31">
        <v>8.1374599999999991E-3</v>
      </c>
      <c r="H105" s="24" t="s">
        <v>146</v>
      </c>
    </row>
    <row r="106" spans="1:8" x14ac:dyDescent="0.2">
      <c r="A106" s="27">
        <v>100</v>
      </c>
      <c r="B106" s="28" t="s">
        <v>802</v>
      </c>
      <c r="C106" s="28" t="s">
        <v>803</v>
      </c>
      <c r="D106" s="28" t="s">
        <v>120</v>
      </c>
      <c r="E106" s="29">
        <v>31621</v>
      </c>
      <c r="F106" s="30">
        <v>76.412146500000006</v>
      </c>
      <c r="G106" s="31">
        <v>7.9310700000000001E-3</v>
      </c>
      <c r="H106" s="24" t="s">
        <v>146</v>
      </c>
    </row>
    <row r="107" spans="1:8" x14ac:dyDescent="0.2">
      <c r="A107" s="25"/>
      <c r="B107" s="25"/>
      <c r="C107" s="26" t="s">
        <v>145</v>
      </c>
      <c r="D107" s="25"/>
      <c r="E107" s="25" t="s">
        <v>146</v>
      </c>
      <c r="F107" s="32">
        <f>SUM(F7:F106)</f>
        <v>9503.8212411000022</v>
      </c>
      <c r="G107" s="33">
        <f>SUM(G7:G106)</f>
        <v>0.98643252999999997</v>
      </c>
      <c r="H107" s="24" t="s">
        <v>146</v>
      </c>
    </row>
    <row r="108" spans="1:8" x14ac:dyDescent="0.2">
      <c r="A108" s="25"/>
      <c r="B108" s="25"/>
      <c r="C108" s="34"/>
      <c r="D108" s="25"/>
      <c r="E108" s="25"/>
      <c r="F108" s="35"/>
      <c r="G108" s="35"/>
      <c r="H108" s="24" t="s">
        <v>146</v>
      </c>
    </row>
    <row r="109" spans="1:8" x14ac:dyDescent="0.2">
      <c r="A109" s="25"/>
      <c r="B109" s="25"/>
      <c r="C109" s="26" t="s">
        <v>147</v>
      </c>
      <c r="D109" s="25"/>
      <c r="E109" s="25"/>
      <c r="F109" s="25"/>
      <c r="G109" s="25"/>
      <c r="H109" s="24" t="s">
        <v>146</v>
      </c>
    </row>
    <row r="110" spans="1:8" x14ac:dyDescent="0.2">
      <c r="A110" s="25"/>
      <c r="B110" s="25"/>
      <c r="C110" s="26" t="s">
        <v>145</v>
      </c>
      <c r="D110" s="25"/>
      <c r="E110" s="25" t="s">
        <v>146</v>
      </c>
      <c r="F110" s="36" t="s">
        <v>148</v>
      </c>
      <c r="G110" s="33">
        <v>0</v>
      </c>
      <c r="H110" s="24" t="s">
        <v>146</v>
      </c>
    </row>
    <row r="111" spans="1:8" x14ac:dyDescent="0.2">
      <c r="A111" s="25"/>
      <c r="B111" s="25"/>
      <c r="C111" s="34"/>
      <c r="D111" s="25"/>
      <c r="E111" s="25"/>
      <c r="F111" s="35"/>
      <c r="G111" s="35"/>
      <c r="H111" s="24" t="s">
        <v>146</v>
      </c>
    </row>
    <row r="112" spans="1:8" x14ac:dyDescent="0.2">
      <c r="A112" s="25"/>
      <c r="B112" s="25"/>
      <c r="C112" s="26" t="s">
        <v>149</v>
      </c>
      <c r="D112" s="25"/>
      <c r="E112" s="25"/>
      <c r="F112" s="25"/>
      <c r="G112" s="25"/>
      <c r="H112" s="24" t="s">
        <v>146</v>
      </c>
    </row>
    <row r="113" spans="1:8" x14ac:dyDescent="0.2">
      <c r="A113" s="25"/>
      <c r="B113" s="25"/>
      <c r="C113" s="26" t="s">
        <v>145</v>
      </c>
      <c r="D113" s="25"/>
      <c r="E113" s="25" t="s">
        <v>146</v>
      </c>
      <c r="F113" s="36" t="s">
        <v>148</v>
      </c>
      <c r="G113" s="33">
        <v>0</v>
      </c>
      <c r="H113" s="24" t="s">
        <v>146</v>
      </c>
    </row>
    <row r="114" spans="1:8" x14ac:dyDescent="0.2">
      <c r="A114" s="25"/>
      <c r="B114" s="25"/>
      <c r="C114" s="34"/>
      <c r="D114" s="25"/>
      <c r="E114" s="25"/>
      <c r="F114" s="35"/>
      <c r="G114" s="35"/>
      <c r="H114" s="24" t="s">
        <v>146</v>
      </c>
    </row>
    <row r="115" spans="1:8" x14ac:dyDescent="0.2">
      <c r="A115" s="25"/>
      <c r="B115" s="25"/>
      <c r="C115" s="26" t="s">
        <v>150</v>
      </c>
      <c r="D115" s="25"/>
      <c r="E115" s="25"/>
      <c r="F115" s="25"/>
      <c r="G115" s="25"/>
      <c r="H115" s="24" t="s">
        <v>146</v>
      </c>
    </row>
    <row r="116" spans="1:8" x14ac:dyDescent="0.2">
      <c r="A116" s="25"/>
      <c r="B116" s="25"/>
      <c r="C116" s="26" t="s">
        <v>145</v>
      </c>
      <c r="D116" s="25"/>
      <c r="E116" s="25" t="s">
        <v>146</v>
      </c>
      <c r="F116" s="36" t="s">
        <v>148</v>
      </c>
      <c r="G116" s="33">
        <v>0</v>
      </c>
      <c r="H116" s="24" t="s">
        <v>146</v>
      </c>
    </row>
    <row r="117" spans="1:8" x14ac:dyDescent="0.2">
      <c r="A117" s="25"/>
      <c r="B117" s="25"/>
      <c r="C117" s="34"/>
      <c r="D117" s="25"/>
      <c r="E117" s="25"/>
      <c r="F117" s="35"/>
      <c r="G117" s="35"/>
      <c r="H117" s="24" t="s">
        <v>146</v>
      </c>
    </row>
    <row r="118" spans="1:8" x14ac:dyDescent="0.2">
      <c r="A118" s="25"/>
      <c r="B118" s="25"/>
      <c r="C118" s="26" t="s">
        <v>151</v>
      </c>
      <c r="D118" s="25"/>
      <c r="E118" s="25"/>
      <c r="F118" s="35"/>
      <c r="G118" s="35"/>
      <c r="H118" s="24" t="s">
        <v>146</v>
      </c>
    </row>
    <row r="119" spans="1:8" x14ac:dyDescent="0.2">
      <c r="A119" s="25"/>
      <c r="B119" s="25"/>
      <c r="C119" s="26" t="s">
        <v>145</v>
      </c>
      <c r="D119" s="25"/>
      <c r="E119" s="25" t="s">
        <v>146</v>
      </c>
      <c r="F119" s="36" t="s">
        <v>148</v>
      </c>
      <c r="G119" s="33">
        <v>0</v>
      </c>
      <c r="H119" s="24" t="s">
        <v>146</v>
      </c>
    </row>
    <row r="120" spans="1:8" x14ac:dyDescent="0.2">
      <c r="A120" s="25"/>
      <c r="B120" s="25"/>
      <c r="C120" s="34"/>
      <c r="D120" s="25"/>
      <c r="E120" s="25"/>
      <c r="F120" s="35"/>
      <c r="G120" s="35"/>
      <c r="H120" s="24" t="s">
        <v>146</v>
      </c>
    </row>
    <row r="121" spans="1:8" x14ac:dyDescent="0.2">
      <c r="A121" s="25"/>
      <c r="B121" s="25"/>
      <c r="C121" s="26" t="s">
        <v>152</v>
      </c>
      <c r="D121" s="25"/>
      <c r="E121" s="25"/>
      <c r="F121" s="35"/>
      <c r="G121" s="35"/>
      <c r="H121" s="24" t="s">
        <v>146</v>
      </c>
    </row>
    <row r="122" spans="1:8" x14ac:dyDescent="0.2">
      <c r="A122" s="25"/>
      <c r="B122" s="25"/>
      <c r="C122" s="26" t="s">
        <v>145</v>
      </c>
      <c r="D122" s="25"/>
      <c r="E122" s="25" t="s">
        <v>146</v>
      </c>
      <c r="F122" s="36" t="s">
        <v>148</v>
      </c>
      <c r="G122" s="33">
        <v>0</v>
      </c>
      <c r="H122" s="24" t="s">
        <v>146</v>
      </c>
    </row>
    <row r="123" spans="1:8" x14ac:dyDescent="0.2">
      <c r="A123" s="25"/>
      <c r="B123" s="25"/>
      <c r="C123" s="34"/>
      <c r="D123" s="25"/>
      <c r="E123" s="25"/>
      <c r="F123" s="35"/>
      <c r="G123" s="35"/>
      <c r="H123" s="24" t="s">
        <v>146</v>
      </c>
    </row>
    <row r="124" spans="1:8" x14ac:dyDescent="0.2">
      <c r="A124" s="25"/>
      <c r="B124" s="25"/>
      <c r="C124" s="26" t="s">
        <v>153</v>
      </c>
      <c r="D124" s="25"/>
      <c r="E124" s="25"/>
      <c r="F124" s="32">
        <v>9503.8212411000004</v>
      </c>
      <c r="G124" s="33">
        <v>0.98643252999999997</v>
      </c>
      <c r="H124" s="24" t="s">
        <v>146</v>
      </c>
    </row>
    <row r="125" spans="1:8" x14ac:dyDescent="0.2">
      <c r="A125" s="25"/>
      <c r="B125" s="25"/>
      <c r="C125" s="34"/>
      <c r="D125" s="25"/>
      <c r="E125" s="25"/>
      <c r="F125" s="35"/>
      <c r="G125" s="35"/>
      <c r="H125" s="24" t="s">
        <v>146</v>
      </c>
    </row>
    <row r="126" spans="1:8" x14ac:dyDescent="0.2">
      <c r="A126" s="25"/>
      <c r="B126" s="25"/>
      <c r="C126" s="26" t="s">
        <v>154</v>
      </c>
      <c r="D126" s="25"/>
      <c r="E126" s="25"/>
      <c r="F126" s="35"/>
      <c r="G126" s="35"/>
      <c r="H126" s="24" t="s">
        <v>146</v>
      </c>
    </row>
    <row r="127" spans="1:8" x14ac:dyDescent="0.2">
      <c r="A127" s="25"/>
      <c r="B127" s="25"/>
      <c r="C127" s="26" t="s">
        <v>10</v>
      </c>
      <c r="D127" s="25"/>
      <c r="E127" s="25"/>
      <c r="F127" s="35"/>
      <c r="G127" s="35"/>
      <c r="H127" s="24" t="s">
        <v>146</v>
      </c>
    </row>
    <row r="128" spans="1:8" x14ac:dyDescent="0.2">
      <c r="A128" s="25"/>
      <c r="B128" s="25"/>
      <c r="C128" s="26" t="s">
        <v>145</v>
      </c>
      <c r="D128" s="25"/>
      <c r="E128" s="25" t="s">
        <v>146</v>
      </c>
      <c r="F128" s="36" t="s">
        <v>148</v>
      </c>
      <c r="G128" s="33">
        <v>0</v>
      </c>
      <c r="H128" s="24" t="s">
        <v>146</v>
      </c>
    </row>
    <row r="129" spans="1:8" x14ac:dyDescent="0.2">
      <c r="A129" s="25"/>
      <c r="B129" s="25"/>
      <c r="C129" s="34"/>
      <c r="D129" s="25"/>
      <c r="E129" s="25"/>
      <c r="F129" s="35"/>
      <c r="G129" s="35"/>
      <c r="H129" s="24" t="s">
        <v>146</v>
      </c>
    </row>
    <row r="130" spans="1:8" x14ac:dyDescent="0.2">
      <c r="A130" s="25"/>
      <c r="B130" s="25"/>
      <c r="C130" s="26" t="s">
        <v>155</v>
      </c>
      <c r="D130" s="25"/>
      <c r="E130" s="25"/>
      <c r="F130" s="25"/>
      <c r="G130" s="25"/>
      <c r="H130" s="24" t="s">
        <v>146</v>
      </c>
    </row>
    <row r="131" spans="1:8" x14ac:dyDescent="0.2">
      <c r="A131" s="25"/>
      <c r="B131" s="25"/>
      <c r="C131" s="26" t="s">
        <v>145</v>
      </c>
      <c r="D131" s="25"/>
      <c r="E131" s="25" t="s">
        <v>146</v>
      </c>
      <c r="F131" s="36" t="s">
        <v>148</v>
      </c>
      <c r="G131" s="33">
        <v>0</v>
      </c>
      <c r="H131" s="24" t="s">
        <v>146</v>
      </c>
    </row>
    <row r="132" spans="1:8" x14ac:dyDescent="0.2">
      <c r="A132" s="25"/>
      <c r="B132" s="25"/>
      <c r="C132" s="34"/>
      <c r="D132" s="25"/>
      <c r="E132" s="25"/>
      <c r="F132" s="35"/>
      <c r="G132" s="35"/>
      <c r="H132" s="24" t="s">
        <v>146</v>
      </c>
    </row>
    <row r="133" spans="1:8" x14ac:dyDescent="0.2">
      <c r="A133" s="25"/>
      <c r="B133" s="25"/>
      <c r="C133" s="26" t="s">
        <v>156</v>
      </c>
      <c r="D133" s="25"/>
      <c r="E133" s="25"/>
      <c r="F133" s="25"/>
      <c r="G133" s="25"/>
      <c r="H133" s="24" t="s">
        <v>146</v>
      </c>
    </row>
    <row r="134" spans="1:8" x14ac:dyDescent="0.2">
      <c r="A134" s="25"/>
      <c r="B134" s="25"/>
      <c r="C134" s="26" t="s">
        <v>145</v>
      </c>
      <c r="D134" s="25"/>
      <c r="E134" s="25" t="s">
        <v>146</v>
      </c>
      <c r="F134" s="36" t="s">
        <v>148</v>
      </c>
      <c r="G134" s="33">
        <v>0</v>
      </c>
      <c r="H134" s="24" t="s">
        <v>146</v>
      </c>
    </row>
    <row r="135" spans="1:8" x14ac:dyDescent="0.2">
      <c r="A135" s="25"/>
      <c r="B135" s="25"/>
      <c r="C135" s="34"/>
      <c r="D135" s="25"/>
      <c r="E135" s="25"/>
      <c r="F135" s="35"/>
      <c r="G135" s="35"/>
      <c r="H135" s="24" t="s">
        <v>146</v>
      </c>
    </row>
    <row r="136" spans="1:8" x14ac:dyDescent="0.2">
      <c r="A136" s="25"/>
      <c r="B136" s="25"/>
      <c r="C136" s="26" t="s">
        <v>157</v>
      </c>
      <c r="D136" s="25"/>
      <c r="E136" s="25"/>
      <c r="F136" s="35"/>
      <c r="G136" s="35"/>
      <c r="H136" s="24" t="s">
        <v>146</v>
      </c>
    </row>
    <row r="137" spans="1:8" x14ac:dyDescent="0.2">
      <c r="A137" s="25"/>
      <c r="B137" s="25"/>
      <c r="C137" s="26" t="s">
        <v>145</v>
      </c>
      <c r="D137" s="25"/>
      <c r="E137" s="25" t="s">
        <v>146</v>
      </c>
      <c r="F137" s="36" t="s">
        <v>148</v>
      </c>
      <c r="G137" s="33">
        <v>0</v>
      </c>
      <c r="H137" s="24" t="s">
        <v>146</v>
      </c>
    </row>
    <row r="138" spans="1:8" x14ac:dyDescent="0.2">
      <c r="A138" s="25"/>
      <c r="B138" s="25"/>
      <c r="C138" s="34"/>
      <c r="D138" s="25"/>
      <c r="E138" s="25"/>
      <c r="F138" s="35"/>
      <c r="G138" s="35"/>
      <c r="H138" s="24" t="s">
        <v>146</v>
      </c>
    </row>
    <row r="139" spans="1:8" x14ac:dyDescent="0.2">
      <c r="A139" s="25"/>
      <c r="B139" s="25"/>
      <c r="C139" s="26" t="s">
        <v>158</v>
      </c>
      <c r="D139" s="25"/>
      <c r="E139" s="25"/>
      <c r="F139" s="32">
        <v>0</v>
      </c>
      <c r="G139" s="33">
        <v>0</v>
      </c>
      <c r="H139" s="24" t="s">
        <v>146</v>
      </c>
    </row>
    <row r="140" spans="1:8" x14ac:dyDescent="0.2">
      <c r="A140" s="25"/>
      <c r="B140" s="25"/>
      <c r="C140" s="34"/>
      <c r="D140" s="25"/>
      <c r="E140" s="25"/>
      <c r="F140" s="35"/>
      <c r="G140" s="35"/>
      <c r="H140" s="24" t="s">
        <v>146</v>
      </c>
    </row>
    <row r="141" spans="1:8" x14ac:dyDescent="0.2">
      <c r="A141" s="25"/>
      <c r="B141" s="25"/>
      <c r="C141" s="26" t="s">
        <v>159</v>
      </c>
      <c r="D141" s="25"/>
      <c r="E141" s="25"/>
      <c r="F141" s="35"/>
      <c r="G141" s="35"/>
      <c r="H141" s="24" t="s">
        <v>146</v>
      </c>
    </row>
    <row r="142" spans="1:8" x14ac:dyDescent="0.2">
      <c r="A142" s="25"/>
      <c r="B142" s="25"/>
      <c r="C142" s="26" t="s">
        <v>160</v>
      </c>
      <c r="D142" s="25"/>
      <c r="E142" s="25"/>
      <c r="F142" s="35"/>
      <c r="G142" s="35"/>
      <c r="H142" s="24" t="s">
        <v>146</v>
      </c>
    </row>
    <row r="143" spans="1:8" x14ac:dyDescent="0.2">
      <c r="A143" s="25"/>
      <c r="B143" s="25"/>
      <c r="C143" s="26" t="s">
        <v>145</v>
      </c>
      <c r="D143" s="25"/>
      <c r="E143" s="25" t="s">
        <v>146</v>
      </c>
      <c r="F143" s="36" t="s">
        <v>148</v>
      </c>
      <c r="G143" s="33">
        <v>0</v>
      </c>
      <c r="H143" s="24" t="s">
        <v>146</v>
      </c>
    </row>
    <row r="144" spans="1:8" x14ac:dyDescent="0.2">
      <c r="A144" s="25"/>
      <c r="B144" s="25"/>
      <c r="C144" s="34"/>
      <c r="D144" s="25"/>
      <c r="E144" s="25"/>
      <c r="F144" s="35"/>
      <c r="G144" s="35"/>
      <c r="H144" s="24" t="s">
        <v>146</v>
      </c>
    </row>
    <row r="145" spans="1:8" x14ac:dyDescent="0.2">
      <c r="A145" s="25"/>
      <c r="B145" s="25"/>
      <c r="C145" s="26" t="s">
        <v>161</v>
      </c>
      <c r="D145" s="25"/>
      <c r="E145" s="25"/>
      <c r="F145" s="35"/>
      <c r="G145" s="35"/>
      <c r="H145" s="24" t="s">
        <v>146</v>
      </c>
    </row>
    <row r="146" spans="1:8" x14ac:dyDescent="0.2">
      <c r="A146" s="25"/>
      <c r="B146" s="25"/>
      <c r="C146" s="26" t="s">
        <v>145</v>
      </c>
      <c r="D146" s="25"/>
      <c r="E146" s="25" t="s">
        <v>146</v>
      </c>
      <c r="F146" s="36" t="s">
        <v>148</v>
      </c>
      <c r="G146" s="33">
        <v>0</v>
      </c>
      <c r="H146" s="24" t="s">
        <v>146</v>
      </c>
    </row>
    <row r="147" spans="1:8" x14ac:dyDescent="0.2">
      <c r="A147" s="25"/>
      <c r="B147" s="25"/>
      <c r="C147" s="34"/>
      <c r="D147" s="25"/>
      <c r="E147" s="25"/>
      <c r="F147" s="35"/>
      <c r="G147" s="35"/>
      <c r="H147" s="24" t="s">
        <v>146</v>
      </c>
    </row>
    <row r="148" spans="1:8" x14ac:dyDescent="0.2">
      <c r="A148" s="25"/>
      <c r="B148" s="25"/>
      <c r="C148" s="26" t="s">
        <v>162</v>
      </c>
      <c r="D148" s="25"/>
      <c r="E148" s="25"/>
      <c r="F148" s="35"/>
      <c r="G148" s="35"/>
      <c r="H148" s="24" t="s">
        <v>146</v>
      </c>
    </row>
    <row r="149" spans="1:8" x14ac:dyDescent="0.2">
      <c r="A149" s="25"/>
      <c r="B149" s="25"/>
      <c r="C149" s="26" t="s">
        <v>145</v>
      </c>
      <c r="D149" s="25"/>
      <c r="E149" s="25" t="s">
        <v>146</v>
      </c>
      <c r="F149" s="36" t="s">
        <v>148</v>
      </c>
      <c r="G149" s="33">
        <v>0</v>
      </c>
      <c r="H149" s="24" t="s">
        <v>146</v>
      </c>
    </row>
    <row r="150" spans="1:8" x14ac:dyDescent="0.2">
      <c r="A150" s="25"/>
      <c r="B150" s="25"/>
      <c r="C150" s="34"/>
      <c r="D150" s="25"/>
      <c r="E150" s="25"/>
      <c r="F150" s="35"/>
      <c r="G150" s="35"/>
      <c r="H150" s="24" t="s">
        <v>146</v>
      </c>
    </row>
    <row r="151" spans="1:8" x14ac:dyDescent="0.2">
      <c r="A151" s="25"/>
      <c r="B151" s="25"/>
      <c r="C151" s="26" t="s">
        <v>163</v>
      </c>
      <c r="D151" s="25"/>
      <c r="E151" s="25"/>
      <c r="F151" s="35"/>
      <c r="G151" s="35"/>
      <c r="H151" s="24" t="s">
        <v>146</v>
      </c>
    </row>
    <row r="152" spans="1:8" x14ac:dyDescent="0.2">
      <c r="A152" s="27">
        <v>1</v>
      </c>
      <c r="B152" s="28"/>
      <c r="C152" s="28" t="s">
        <v>164</v>
      </c>
      <c r="D152" s="28"/>
      <c r="E152" s="38"/>
      <c r="F152" s="30">
        <v>157.80201769999999</v>
      </c>
      <c r="G152" s="31">
        <v>1.6378779999999999E-2</v>
      </c>
      <c r="H152" s="24">
        <v>6.57</v>
      </c>
    </row>
    <row r="153" spans="1:8" x14ac:dyDescent="0.2">
      <c r="A153" s="25"/>
      <c r="B153" s="25"/>
      <c r="C153" s="26" t="s">
        <v>145</v>
      </c>
      <c r="D153" s="25"/>
      <c r="E153" s="25" t="s">
        <v>146</v>
      </c>
      <c r="F153" s="32">
        <v>157.80201769999999</v>
      </c>
      <c r="G153" s="33">
        <v>1.6378779999999999E-2</v>
      </c>
      <c r="H153" s="24" t="s">
        <v>146</v>
      </c>
    </row>
    <row r="154" spans="1:8" x14ac:dyDescent="0.2">
      <c r="A154" s="25"/>
      <c r="B154" s="25"/>
      <c r="C154" s="34"/>
      <c r="D154" s="25"/>
      <c r="E154" s="25"/>
      <c r="F154" s="35"/>
      <c r="G154" s="35"/>
      <c r="H154" s="24" t="s">
        <v>146</v>
      </c>
    </row>
    <row r="155" spans="1:8" x14ac:dyDescent="0.2">
      <c r="A155" s="25"/>
      <c r="B155" s="25"/>
      <c r="C155" s="26" t="s">
        <v>165</v>
      </c>
      <c r="D155" s="25"/>
      <c r="E155" s="25"/>
      <c r="F155" s="32">
        <v>157.80201769999999</v>
      </c>
      <c r="G155" s="33">
        <v>1.6378779999999999E-2</v>
      </c>
      <c r="H155" s="24" t="s">
        <v>146</v>
      </c>
    </row>
    <row r="156" spans="1:8" x14ac:dyDescent="0.2">
      <c r="A156" s="25"/>
      <c r="B156" s="25"/>
      <c r="C156" s="35"/>
      <c r="D156" s="25"/>
      <c r="E156" s="25"/>
      <c r="F156" s="25"/>
      <c r="G156" s="25"/>
      <c r="H156" s="24" t="s">
        <v>146</v>
      </c>
    </row>
    <row r="157" spans="1:8" x14ac:dyDescent="0.2">
      <c r="A157" s="25"/>
      <c r="B157" s="25"/>
      <c r="C157" s="26" t="s">
        <v>166</v>
      </c>
      <c r="D157" s="25"/>
      <c r="E157" s="25"/>
      <c r="F157" s="25"/>
      <c r="G157" s="25"/>
      <c r="H157" s="24" t="s">
        <v>146</v>
      </c>
    </row>
    <row r="158" spans="1:8" x14ac:dyDescent="0.2">
      <c r="A158" s="25"/>
      <c r="B158" s="25"/>
      <c r="C158" s="26" t="s">
        <v>167</v>
      </c>
      <c r="D158" s="25"/>
      <c r="E158" s="25"/>
      <c r="F158" s="25"/>
      <c r="G158" s="25"/>
      <c r="H158" s="24" t="s">
        <v>146</v>
      </c>
    </row>
    <row r="159" spans="1:8" x14ac:dyDescent="0.2">
      <c r="A159" s="25"/>
      <c r="B159" s="25"/>
      <c r="C159" s="26" t="s">
        <v>145</v>
      </c>
      <c r="D159" s="25"/>
      <c r="E159" s="25" t="s">
        <v>146</v>
      </c>
      <c r="F159" s="36" t="s">
        <v>148</v>
      </c>
      <c r="G159" s="33">
        <v>0</v>
      </c>
      <c r="H159" s="24" t="s">
        <v>146</v>
      </c>
    </row>
    <row r="160" spans="1:8" x14ac:dyDescent="0.2">
      <c r="A160" s="25"/>
      <c r="B160" s="25"/>
      <c r="C160" s="34"/>
      <c r="D160" s="25"/>
      <c r="E160" s="25"/>
      <c r="F160" s="35"/>
      <c r="G160" s="35"/>
      <c r="H160" s="24" t="s">
        <v>146</v>
      </c>
    </row>
    <row r="161" spans="1:17" x14ac:dyDescent="0.2">
      <c r="A161" s="25"/>
      <c r="B161" s="25"/>
      <c r="C161" s="26" t="s">
        <v>168</v>
      </c>
      <c r="D161" s="25"/>
      <c r="E161" s="25"/>
      <c r="F161" s="25"/>
      <c r="G161" s="25"/>
      <c r="H161" s="24" t="s">
        <v>146</v>
      </c>
    </row>
    <row r="162" spans="1:17" x14ac:dyDescent="0.2">
      <c r="A162" s="25"/>
      <c r="B162" s="25"/>
      <c r="C162" s="26" t="s">
        <v>169</v>
      </c>
      <c r="D162" s="25"/>
      <c r="E162" s="25"/>
      <c r="F162" s="25"/>
      <c r="G162" s="25"/>
      <c r="H162" s="24" t="s">
        <v>146</v>
      </c>
    </row>
    <row r="163" spans="1:17" x14ac:dyDescent="0.2">
      <c r="A163" s="25"/>
      <c r="B163" s="25"/>
      <c r="C163" s="26" t="s">
        <v>145</v>
      </c>
      <c r="D163" s="25"/>
      <c r="E163" s="25" t="s">
        <v>146</v>
      </c>
      <c r="F163" s="36" t="s">
        <v>148</v>
      </c>
      <c r="G163" s="33">
        <v>0</v>
      </c>
      <c r="H163" s="24" t="s">
        <v>146</v>
      </c>
    </row>
    <row r="164" spans="1:17" x14ac:dyDescent="0.2">
      <c r="A164" s="25"/>
      <c r="B164" s="25"/>
      <c r="C164" s="34"/>
      <c r="D164" s="25"/>
      <c r="E164" s="25"/>
      <c r="F164" s="35"/>
      <c r="G164" s="35"/>
      <c r="H164" s="24" t="s">
        <v>146</v>
      </c>
    </row>
    <row r="165" spans="1:17" x14ac:dyDescent="0.2">
      <c r="A165" s="25"/>
      <c r="B165" s="25"/>
      <c r="C165" s="26" t="s">
        <v>170</v>
      </c>
      <c r="D165" s="25"/>
      <c r="E165" s="25"/>
      <c r="F165" s="35"/>
      <c r="G165" s="35"/>
      <c r="H165" s="24" t="s">
        <v>146</v>
      </c>
    </row>
    <row r="166" spans="1:17" x14ac:dyDescent="0.2">
      <c r="A166" s="25"/>
      <c r="B166" s="25"/>
      <c r="C166" s="26" t="s">
        <v>145</v>
      </c>
      <c r="D166" s="25"/>
      <c r="E166" s="25" t="s">
        <v>146</v>
      </c>
      <c r="F166" s="36" t="s">
        <v>148</v>
      </c>
      <c r="G166" s="33">
        <v>0</v>
      </c>
      <c r="H166" s="24" t="s">
        <v>146</v>
      </c>
    </row>
    <row r="167" spans="1:17" x14ac:dyDescent="0.2">
      <c r="A167" s="25"/>
      <c r="B167" s="25"/>
      <c r="C167" s="34"/>
      <c r="D167" s="25"/>
      <c r="E167" s="25"/>
      <c r="F167" s="35"/>
      <c r="G167" s="35"/>
      <c r="H167" s="24" t="s">
        <v>146</v>
      </c>
    </row>
    <row r="168" spans="1:17" x14ac:dyDescent="0.2">
      <c r="A168" s="38"/>
      <c r="B168" s="28"/>
      <c r="C168" s="28" t="s">
        <v>171</v>
      </c>
      <c r="D168" s="28"/>
      <c r="E168" s="38"/>
      <c r="F168" s="30">
        <v>-27.08516891</v>
      </c>
      <c r="G168" s="31">
        <v>-2.8112599999999999E-3</v>
      </c>
      <c r="H168" s="24" t="s">
        <v>146</v>
      </c>
    </row>
    <row r="169" spans="1:17" x14ac:dyDescent="0.2">
      <c r="A169" s="34"/>
      <c r="B169" s="34"/>
      <c r="C169" s="26" t="s">
        <v>172</v>
      </c>
      <c r="D169" s="35"/>
      <c r="E169" s="35"/>
      <c r="F169" s="32">
        <v>9634.5380898900003</v>
      </c>
      <c r="G169" s="39">
        <v>1.0000000499999999</v>
      </c>
      <c r="H169" s="24" t="s">
        <v>146</v>
      </c>
    </row>
    <row r="170" spans="1:17" x14ac:dyDescent="0.2">
      <c r="A170" s="40"/>
      <c r="B170" s="40"/>
      <c r="C170" s="40"/>
      <c r="D170" s="41"/>
      <c r="E170" s="41"/>
      <c r="F170" s="41"/>
      <c r="G170" s="41"/>
    </row>
    <row r="171" spans="1:17" x14ac:dyDescent="0.2">
      <c r="A171" s="42"/>
      <c r="B171" s="236" t="s">
        <v>858</v>
      </c>
      <c r="C171" s="236"/>
      <c r="D171" s="236"/>
      <c r="E171" s="236"/>
      <c r="F171" s="236"/>
      <c r="G171" s="236"/>
      <c r="H171" s="236"/>
      <c r="J171" s="44"/>
    </row>
    <row r="172" spans="1:17" x14ac:dyDescent="0.2">
      <c r="A172" s="42"/>
      <c r="B172" s="236" t="s">
        <v>859</v>
      </c>
      <c r="C172" s="236"/>
      <c r="D172" s="236"/>
      <c r="E172" s="236"/>
      <c r="F172" s="236"/>
      <c r="G172" s="236"/>
      <c r="H172" s="236"/>
      <c r="J172" s="44"/>
    </row>
    <row r="173" spans="1:17" x14ac:dyDescent="0.2">
      <c r="A173" s="42"/>
      <c r="B173" s="236" t="s">
        <v>860</v>
      </c>
      <c r="C173" s="236"/>
      <c r="D173" s="236"/>
      <c r="E173" s="236"/>
      <c r="F173" s="236"/>
      <c r="G173" s="236"/>
      <c r="H173" s="236"/>
      <c r="J173" s="44"/>
    </row>
    <row r="174" spans="1:17" s="46" customFormat="1" ht="65.25" customHeight="1" x14ac:dyDescent="0.25">
      <c r="A174" s="45"/>
      <c r="B174" s="237" t="s">
        <v>861</v>
      </c>
      <c r="C174" s="237"/>
      <c r="D174" s="237"/>
      <c r="E174" s="237"/>
      <c r="F174" s="237"/>
      <c r="G174" s="237"/>
      <c r="H174" s="237"/>
      <c r="I174"/>
      <c r="J174" s="44"/>
      <c r="K174"/>
      <c r="L174"/>
      <c r="M174"/>
      <c r="N174"/>
      <c r="O174"/>
      <c r="P174"/>
      <c r="Q174"/>
    </row>
    <row r="175" spans="1:17" x14ac:dyDescent="0.2">
      <c r="A175" s="42"/>
      <c r="B175" s="236" t="s">
        <v>862</v>
      </c>
      <c r="C175" s="236"/>
      <c r="D175" s="236"/>
      <c r="E175" s="236"/>
      <c r="F175" s="236"/>
      <c r="G175" s="236"/>
      <c r="H175" s="236"/>
      <c r="J175" s="44"/>
    </row>
    <row r="176" spans="1:17" x14ac:dyDescent="0.2">
      <c r="A176" s="47"/>
      <c r="B176" s="47"/>
      <c r="C176" s="47"/>
      <c r="D176" s="48"/>
      <c r="E176" s="48"/>
      <c r="F176" s="48"/>
      <c r="G176" s="48"/>
    </row>
    <row r="177" spans="1:10" x14ac:dyDescent="0.2">
      <c r="A177" s="47"/>
      <c r="B177" s="233" t="s">
        <v>173</v>
      </c>
      <c r="C177" s="234"/>
      <c r="D177" s="235"/>
      <c r="E177" s="49"/>
      <c r="F177" s="48"/>
      <c r="G177" s="48"/>
    </row>
    <row r="178" spans="1:10" ht="24.75" customHeight="1" x14ac:dyDescent="0.2">
      <c r="A178" s="47"/>
      <c r="B178" s="231" t="s">
        <v>174</v>
      </c>
      <c r="C178" s="232"/>
      <c r="D178" s="26" t="s">
        <v>175</v>
      </c>
      <c r="E178" s="49"/>
      <c r="F178" s="48"/>
      <c r="G178" s="48"/>
    </row>
    <row r="179" spans="1:10" x14ac:dyDescent="0.2">
      <c r="A179" s="47"/>
      <c r="B179" s="231" t="s">
        <v>863</v>
      </c>
      <c r="C179" s="232"/>
      <c r="D179" s="26" t="s">
        <v>175</v>
      </c>
      <c r="E179" s="49"/>
      <c r="F179" s="48"/>
      <c r="G179" s="48"/>
    </row>
    <row r="180" spans="1:10" x14ac:dyDescent="0.2">
      <c r="A180" s="47"/>
      <c r="B180" s="231" t="s">
        <v>176</v>
      </c>
      <c r="C180" s="232"/>
      <c r="D180" s="35" t="s">
        <v>146</v>
      </c>
      <c r="E180" s="49"/>
      <c r="F180" s="48"/>
      <c r="G180" s="48"/>
    </row>
    <row r="181" spans="1:10" x14ac:dyDescent="0.2">
      <c r="A181" s="53"/>
      <c r="B181" s="54" t="s">
        <v>146</v>
      </c>
      <c r="C181" s="54" t="s">
        <v>864</v>
      </c>
      <c r="D181" s="54" t="s">
        <v>177</v>
      </c>
      <c r="E181" s="53"/>
      <c r="F181" s="53"/>
      <c r="G181" s="53"/>
      <c r="H181" s="53"/>
      <c r="J181" s="44"/>
    </row>
    <row r="182" spans="1:10" x14ac:dyDescent="0.2">
      <c r="A182" s="53"/>
      <c r="B182" s="55" t="s">
        <v>178</v>
      </c>
      <c r="C182" s="56">
        <v>45657</v>
      </c>
      <c r="D182" s="56">
        <v>45688</v>
      </c>
      <c r="E182" s="53"/>
      <c r="F182" s="53"/>
      <c r="G182" s="53"/>
      <c r="J182" s="44"/>
    </row>
    <row r="183" spans="1:10" x14ac:dyDescent="0.2">
      <c r="A183" s="57"/>
      <c r="B183" s="28" t="s">
        <v>179</v>
      </c>
      <c r="C183" s="58">
        <v>174.7133</v>
      </c>
      <c r="D183" s="58">
        <v>170.03819999999999</v>
      </c>
      <c r="E183" s="57"/>
      <c r="F183" s="59"/>
      <c r="G183" s="60"/>
    </row>
    <row r="184" spans="1:10" x14ac:dyDescent="0.2">
      <c r="A184" s="57"/>
      <c r="B184" s="28" t="s">
        <v>1025</v>
      </c>
      <c r="C184" s="58">
        <v>82.372</v>
      </c>
      <c r="D184" s="58">
        <v>80.1678</v>
      </c>
      <c r="E184" s="57"/>
      <c r="F184" s="59"/>
      <c r="G184" s="60"/>
    </row>
    <row r="185" spans="1:10" x14ac:dyDescent="0.2">
      <c r="A185" s="57"/>
      <c r="B185" s="28" t="s">
        <v>180</v>
      </c>
      <c r="C185" s="58">
        <v>166.3056</v>
      </c>
      <c r="D185" s="58">
        <v>161.79040000000001</v>
      </c>
      <c r="E185" s="57"/>
      <c r="F185" s="59"/>
      <c r="G185" s="60"/>
    </row>
    <row r="186" spans="1:10" x14ac:dyDescent="0.2">
      <c r="A186" s="57"/>
      <c r="B186" s="28" t="s">
        <v>1026</v>
      </c>
      <c r="C186" s="58">
        <v>78.409899999999993</v>
      </c>
      <c r="D186" s="58">
        <v>76.281000000000006</v>
      </c>
      <c r="E186" s="57"/>
      <c r="F186" s="59"/>
      <c r="G186" s="60"/>
    </row>
    <row r="187" spans="1:10" x14ac:dyDescent="0.2">
      <c r="A187" s="57"/>
      <c r="B187" s="57"/>
      <c r="C187" s="57"/>
      <c r="D187" s="57"/>
      <c r="E187" s="57"/>
      <c r="F187" s="57"/>
      <c r="G187" s="57"/>
    </row>
    <row r="188" spans="1:10" x14ac:dyDescent="0.2">
      <c r="A188" s="53"/>
      <c r="B188" s="227" t="s">
        <v>865</v>
      </c>
      <c r="C188" s="228"/>
      <c r="D188" s="50" t="s">
        <v>175</v>
      </c>
      <c r="E188" s="53"/>
      <c r="F188" s="53"/>
      <c r="G188" s="53"/>
    </row>
    <row r="189" spans="1:10" x14ac:dyDescent="0.2">
      <c r="A189" s="53"/>
      <c r="B189" s="74"/>
      <c r="C189" s="74"/>
      <c r="D189" s="74"/>
      <c r="E189" s="53"/>
      <c r="F189" s="53"/>
      <c r="G189" s="53"/>
    </row>
    <row r="190" spans="1:10" x14ac:dyDescent="0.2">
      <c r="A190" s="53"/>
      <c r="B190" s="227" t="s">
        <v>181</v>
      </c>
      <c r="C190" s="228"/>
      <c r="D190" s="50" t="s">
        <v>175</v>
      </c>
      <c r="E190" s="64"/>
      <c r="F190" s="53"/>
      <c r="G190" s="53"/>
    </row>
    <row r="191" spans="1:10" x14ac:dyDescent="0.2">
      <c r="A191" s="53"/>
      <c r="B191" s="227" t="s">
        <v>182</v>
      </c>
      <c r="C191" s="228"/>
      <c r="D191" s="50" t="s">
        <v>175</v>
      </c>
      <c r="E191" s="64"/>
      <c r="F191" s="53"/>
      <c r="G191" s="53"/>
    </row>
    <row r="192" spans="1:10" x14ac:dyDescent="0.2">
      <c r="A192" s="53"/>
      <c r="B192" s="227" t="s">
        <v>183</v>
      </c>
      <c r="C192" s="228"/>
      <c r="D192" s="50" t="s">
        <v>175</v>
      </c>
      <c r="E192" s="64"/>
      <c r="F192" s="53"/>
      <c r="G192" s="53"/>
    </row>
    <row r="193" spans="1:10" x14ac:dyDescent="0.2">
      <c r="A193" s="53"/>
      <c r="B193" s="227" t="s">
        <v>184</v>
      </c>
      <c r="C193" s="228"/>
      <c r="D193" s="65">
        <v>0.27708779817447982</v>
      </c>
      <c r="E193" s="53"/>
      <c r="F193" s="43"/>
      <c r="G193" s="63"/>
    </row>
    <row r="195" spans="1:10" x14ac:dyDescent="0.2">
      <c r="B195" s="229" t="s">
        <v>866</v>
      </c>
      <c r="C195" s="229"/>
    </row>
    <row r="197" spans="1:10" ht="153.75" customHeight="1" x14ac:dyDescent="0.2"/>
    <row r="199" spans="1:10" x14ac:dyDescent="0.2">
      <c r="B199" s="66" t="s">
        <v>867</v>
      </c>
      <c r="C199" s="67"/>
      <c r="D199" s="66"/>
    </row>
    <row r="200" spans="1:10" x14ac:dyDescent="0.2">
      <c r="B200" s="66" t="s">
        <v>1005</v>
      </c>
      <c r="D200" s="66"/>
    </row>
    <row r="201" spans="1:10" ht="165" customHeight="1" x14ac:dyDescent="0.2"/>
    <row r="203" spans="1:10" x14ac:dyDescent="0.2">
      <c r="J203" s="2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sheetData>
  <mergeCells count="18">
    <mergeCell ref="A1:H1"/>
    <mergeCell ref="A2:H2"/>
    <mergeCell ref="A3:H3"/>
    <mergeCell ref="B179:C179"/>
    <mergeCell ref="B180:C180"/>
    <mergeCell ref="B177:D177"/>
    <mergeCell ref="B178:C178"/>
    <mergeCell ref="B171:H171"/>
    <mergeCell ref="B172:H172"/>
    <mergeCell ref="B173:H173"/>
    <mergeCell ref="B174:H174"/>
    <mergeCell ref="B175:H175"/>
    <mergeCell ref="B190:C190"/>
    <mergeCell ref="B191:C191"/>
    <mergeCell ref="B195:C195"/>
    <mergeCell ref="B188:C188"/>
    <mergeCell ref="B192:C192"/>
    <mergeCell ref="B193:C193"/>
  </mergeCells>
  <hyperlinks>
    <hyperlink ref="I1" location="Index!B2" display="Index" xr:uid="{C20CD751-0DDC-4924-B187-5FF7232D783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6B2B2-1958-4B17-B449-5DB109C2A4EE}">
  <sheetPr>
    <outlinePr summaryBelow="0" summaryRight="0"/>
  </sheetPr>
  <dimension ref="A1:Q176"/>
  <sheetViews>
    <sheetView showGridLines="0" workbookViewId="0">
      <selection activeCell="C9" sqref="C9"/>
    </sheetView>
  </sheetViews>
  <sheetFormatPr defaultRowHeight="12.75" x14ac:dyDescent="0.2"/>
  <cols>
    <col min="1" max="1" width="5.85546875" bestFit="1" customWidth="1"/>
    <col min="2" max="2" width="20"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804</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327</v>
      </c>
      <c r="C7" s="28" t="s">
        <v>328</v>
      </c>
      <c r="D7" s="28" t="s">
        <v>33</v>
      </c>
      <c r="E7" s="29">
        <v>644000</v>
      </c>
      <c r="F7" s="30">
        <v>10939.95</v>
      </c>
      <c r="G7" s="31">
        <v>8.4209149999999997E-2</v>
      </c>
      <c r="H7" s="24" t="s">
        <v>146</v>
      </c>
    </row>
    <row r="8" spans="1:9" x14ac:dyDescent="0.2">
      <c r="A8" s="27">
        <v>2</v>
      </c>
      <c r="B8" s="28" t="s">
        <v>31</v>
      </c>
      <c r="C8" s="28" t="s">
        <v>32</v>
      </c>
      <c r="D8" s="28" t="s">
        <v>33</v>
      </c>
      <c r="E8" s="29">
        <v>737000</v>
      </c>
      <c r="F8" s="30">
        <v>9233.1360000000004</v>
      </c>
      <c r="G8" s="31">
        <v>7.1071120000000002E-2</v>
      </c>
      <c r="H8" s="24" t="s">
        <v>146</v>
      </c>
    </row>
    <row r="9" spans="1:9" x14ac:dyDescent="0.2">
      <c r="A9" s="27">
        <v>3</v>
      </c>
      <c r="B9" s="28" t="s">
        <v>329</v>
      </c>
      <c r="C9" s="28" t="s">
        <v>330</v>
      </c>
      <c r="D9" s="28" t="s">
        <v>195</v>
      </c>
      <c r="E9" s="29">
        <v>306000</v>
      </c>
      <c r="F9" s="30">
        <v>5752.1880000000001</v>
      </c>
      <c r="G9" s="31">
        <v>4.4276879999999998E-2</v>
      </c>
      <c r="H9" s="24" t="s">
        <v>146</v>
      </c>
    </row>
    <row r="10" spans="1:9" x14ac:dyDescent="0.2">
      <c r="A10" s="27">
        <v>4</v>
      </c>
      <c r="B10" s="28" t="s">
        <v>14</v>
      </c>
      <c r="C10" s="28" t="s">
        <v>15</v>
      </c>
      <c r="D10" s="28" t="s">
        <v>16</v>
      </c>
      <c r="E10" s="29">
        <v>434000</v>
      </c>
      <c r="F10" s="30">
        <v>5490.5339999999997</v>
      </c>
      <c r="G10" s="31">
        <v>4.2262830000000001E-2</v>
      </c>
      <c r="H10" s="24" t="s">
        <v>146</v>
      </c>
    </row>
    <row r="11" spans="1:9" x14ac:dyDescent="0.2">
      <c r="A11" s="27">
        <v>5</v>
      </c>
      <c r="B11" s="28" t="s">
        <v>11</v>
      </c>
      <c r="C11" s="28" t="s">
        <v>12</v>
      </c>
      <c r="D11" s="28" t="s">
        <v>13</v>
      </c>
      <c r="E11" s="29">
        <v>115000</v>
      </c>
      <c r="F11" s="30">
        <v>4102.51</v>
      </c>
      <c r="G11" s="31">
        <v>3.157865E-2</v>
      </c>
      <c r="H11" s="24" t="s">
        <v>146</v>
      </c>
    </row>
    <row r="12" spans="1:9" x14ac:dyDescent="0.2">
      <c r="A12" s="27">
        <v>6</v>
      </c>
      <c r="B12" s="28" t="s">
        <v>48</v>
      </c>
      <c r="C12" s="28" t="s">
        <v>49</v>
      </c>
      <c r="D12" s="28" t="s">
        <v>33</v>
      </c>
      <c r="E12" s="29">
        <v>444000</v>
      </c>
      <c r="F12" s="30">
        <v>3431.6759999999999</v>
      </c>
      <c r="G12" s="31">
        <v>2.6414980000000001E-2</v>
      </c>
      <c r="H12" s="24" t="s">
        <v>146</v>
      </c>
    </row>
    <row r="13" spans="1:9" ht="25.5" x14ac:dyDescent="0.2">
      <c r="A13" s="27">
        <v>7</v>
      </c>
      <c r="B13" s="28" t="s">
        <v>23</v>
      </c>
      <c r="C13" s="28" t="s">
        <v>24</v>
      </c>
      <c r="D13" s="28" t="s">
        <v>25</v>
      </c>
      <c r="E13" s="29">
        <v>27000</v>
      </c>
      <c r="F13" s="30">
        <v>3101.6115</v>
      </c>
      <c r="G13" s="31">
        <v>2.3874340000000001E-2</v>
      </c>
      <c r="H13" s="24" t="s">
        <v>146</v>
      </c>
    </row>
    <row r="14" spans="1:9" x14ac:dyDescent="0.2">
      <c r="A14" s="27">
        <v>8</v>
      </c>
      <c r="B14" s="28" t="s">
        <v>339</v>
      </c>
      <c r="C14" s="28" t="s">
        <v>340</v>
      </c>
      <c r="D14" s="28" t="s">
        <v>33</v>
      </c>
      <c r="E14" s="29">
        <v>311000</v>
      </c>
      <c r="F14" s="30">
        <v>3066.7710000000002</v>
      </c>
      <c r="G14" s="31">
        <v>2.3606160000000001E-2</v>
      </c>
      <c r="H14" s="24" t="s">
        <v>146</v>
      </c>
    </row>
    <row r="15" spans="1:9" ht="25.5" x14ac:dyDescent="0.2">
      <c r="A15" s="27">
        <v>9</v>
      </c>
      <c r="B15" s="28" t="s">
        <v>337</v>
      </c>
      <c r="C15" s="28" t="s">
        <v>338</v>
      </c>
      <c r="D15" s="28" t="s">
        <v>198</v>
      </c>
      <c r="E15" s="29">
        <v>164000</v>
      </c>
      <c r="F15" s="30">
        <v>2860.078</v>
      </c>
      <c r="G15" s="31">
        <v>2.2015159999999999E-2</v>
      </c>
      <c r="H15" s="24" t="s">
        <v>146</v>
      </c>
    </row>
    <row r="16" spans="1:9" x14ac:dyDescent="0.2">
      <c r="A16" s="27">
        <v>10</v>
      </c>
      <c r="B16" s="28" t="s">
        <v>78</v>
      </c>
      <c r="C16" s="28" t="s">
        <v>79</v>
      </c>
      <c r="D16" s="28" t="s">
        <v>80</v>
      </c>
      <c r="E16" s="29">
        <v>63000</v>
      </c>
      <c r="F16" s="30">
        <v>2724.3404999999998</v>
      </c>
      <c r="G16" s="31">
        <v>2.0970329999999999E-2</v>
      </c>
      <c r="H16" s="24" t="s">
        <v>146</v>
      </c>
    </row>
    <row r="17" spans="1:8" x14ac:dyDescent="0.2">
      <c r="A17" s="27">
        <v>11</v>
      </c>
      <c r="B17" s="28" t="s">
        <v>347</v>
      </c>
      <c r="C17" s="28" t="s">
        <v>348</v>
      </c>
      <c r="D17" s="28" t="s">
        <v>349</v>
      </c>
      <c r="E17" s="29">
        <v>579000</v>
      </c>
      <c r="F17" s="30">
        <v>2591.0250000000001</v>
      </c>
      <c r="G17" s="31">
        <v>1.9944150000000001E-2</v>
      </c>
      <c r="H17" s="24" t="s">
        <v>146</v>
      </c>
    </row>
    <row r="18" spans="1:8" x14ac:dyDescent="0.2">
      <c r="A18" s="27">
        <v>12</v>
      </c>
      <c r="B18" s="28" t="s">
        <v>644</v>
      </c>
      <c r="C18" s="28" t="s">
        <v>645</v>
      </c>
      <c r="D18" s="28" t="s">
        <v>120</v>
      </c>
      <c r="E18" s="29">
        <v>32000</v>
      </c>
      <c r="F18" s="30">
        <v>2523.232</v>
      </c>
      <c r="G18" s="31">
        <v>1.942232E-2</v>
      </c>
      <c r="H18" s="24" t="s">
        <v>146</v>
      </c>
    </row>
    <row r="19" spans="1:8" x14ac:dyDescent="0.2">
      <c r="A19" s="27">
        <v>13</v>
      </c>
      <c r="B19" s="28" t="s">
        <v>335</v>
      </c>
      <c r="C19" s="28" t="s">
        <v>336</v>
      </c>
      <c r="D19" s="28" t="s">
        <v>195</v>
      </c>
      <c r="E19" s="29">
        <v>61324</v>
      </c>
      <c r="F19" s="30">
        <v>2521.8881759999999</v>
      </c>
      <c r="G19" s="31">
        <v>1.9411979999999999E-2</v>
      </c>
      <c r="H19" s="24" t="s">
        <v>146</v>
      </c>
    </row>
    <row r="20" spans="1:8" x14ac:dyDescent="0.2">
      <c r="A20" s="27">
        <v>14</v>
      </c>
      <c r="B20" s="28" t="s">
        <v>530</v>
      </c>
      <c r="C20" s="28" t="s">
        <v>531</v>
      </c>
      <c r="D20" s="28" t="s">
        <v>195</v>
      </c>
      <c r="E20" s="29">
        <v>148000</v>
      </c>
      <c r="F20" s="30">
        <v>2478.1860000000001</v>
      </c>
      <c r="G20" s="31">
        <v>1.9075580000000002E-2</v>
      </c>
      <c r="H20" s="24" t="s">
        <v>146</v>
      </c>
    </row>
    <row r="21" spans="1:8" x14ac:dyDescent="0.2">
      <c r="A21" s="27">
        <v>15</v>
      </c>
      <c r="B21" s="28" t="s">
        <v>441</v>
      </c>
      <c r="C21" s="28" t="s">
        <v>442</v>
      </c>
      <c r="D21" s="28" t="s">
        <v>349</v>
      </c>
      <c r="E21" s="29">
        <v>95000</v>
      </c>
      <c r="F21" s="30">
        <v>2345.36</v>
      </c>
      <c r="G21" s="31">
        <v>1.805317E-2</v>
      </c>
      <c r="H21" s="24" t="s">
        <v>146</v>
      </c>
    </row>
    <row r="22" spans="1:8" x14ac:dyDescent="0.2">
      <c r="A22" s="27">
        <v>16</v>
      </c>
      <c r="B22" s="28" t="s">
        <v>448</v>
      </c>
      <c r="C22" s="28" t="s">
        <v>449</v>
      </c>
      <c r="D22" s="28" t="s">
        <v>33</v>
      </c>
      <c r="E22" s="29">
        <v>224000</v>
      </c>
      <c r="F22" s="30">
        <v>2220.288</v>
      </c>
      <c r="G22" s="31">
        <v>1.7090439999999998E-2</v>
      </c>
      <c r="H22" s="24" t="s">
        <v>146</v>
      </c>
    </row>
    <row r="23" spans="1:8" ht="25.5" x14ac:dyDescent="0.2">
      <c r="A23" s="27">
        <v>17</v>
      </c>
      <c r="B23" s="28" t="s">
        <v>367</v>
      </c>
      <c r="C23" s="28" t="s">
        <v>368</v>
      </c>
      <c r="D23" s="28" t="s">
        <v>198</v>
      </c>
      <c r="E23" s="29">
        <v>173000</v>
      </c>
      <c r="F23" s="30">
        <v>2027.3869999999999</v>
      </c>
      <c r="G23" s="31">
        <v>1.5605610000000001E-2</v>
      </c>
      <c r="H23" s="24" t="s">
        <v>146</v>
      </c>
    </row>
    <row r="24" spans="1:8" x14ac:dyDescent="0.2">
      <c r="A24" s="27">
        <v>18</v>
      </c>
      <c r="B24" s="28" t="s">
        <v>680</v>
      </c>
      <c r="C24" s="28" t="s">
        <v>681</v>
      </c>
      <c r="D24" s="28" t="s">
        <v>39</v>
      </c>
      <c r="E24" s="29">
        <v>105749</v>
      </c>
      <c r="F24" s="30">
        <v>1922.0409494999999</v>
      </c>
      <c r="G24" s="31">
        <v>1.4794710000000001E-2</v>
      </c>
      <c r="H24" s="24" t="s">
        <v>146</v>
      </c>
    </row>
    <row r="25" spans="1:8" ht="25.5" x14ac:dyDescent="0.2">
      <c r="A25" s="27">
        <v>19</v>
      </c>
      <c r="B25" s="28" t="s">
        <v>361</v>
      </c>
      <c r="C25" s="28" t="s">
        <v>362</v>
      </c>
      <c r="D25" s="28" t="s">
        <v>120</v>
      </c>
      <c r="E25" s="29">
        <v>142000</v>
      </c>
      <c r="F25" s="30">
        <v>1825.9069999999999</v>
      </c>
      <c r="G25" s="31">
        <v>1.405473E-2</v>
      </c>
      <c r="H25" s="24" t="s">
        <v>146</v>
      </c>
    </row>
    <row r="26" spans="1:8" x14ac:dyDescent="0.2">
      <c r="A26" s="27">
        <v>20</v>
      </c>
      <c r="B26" s="28" t="s">
        <v>224</v>
      </c>
      <c r="C26" s="28" t="s">
        <v>225</v>
      </c>
      <c r="D26" s="28" t="s">
        <v>226</v>
      </c>
      <c r="E26" s="29">
        <v>85000</v>
      </c>
      <c r="F26" s="30">
        <v>1824.1</v>
      </c>
      <c r="G26" s="31">
        <v>1.4040820000000001E-2</v>
      </c>
      <c r="H26" s="24" t="s">
        <v>146</v>
      </c>
    </row>
    <row r="27" spans="1:8" x14ac:dyDescent="0.2">
      <c r="A27" s="27">
        <v>21</v>
      </c>
      <c r="B27" s="28" t="s">
        <v>695</v>
      </c>
      <c r="C27" s="28" t="s">
        <v>696</v>
      </c>
      <c r="D27" s="28" t="s">
        <v>233</v>
      </c>
      <c r="E27" s="29">
        <v>29000</v>
      </c>
      <c r="F27" s="30">
        <v>1804.2059999999999</v>
      </c>
      <c r="G27" s="31">
        <v>1.3887689999999999E-2</v>
      </c>
      <c r="H27" s="24" t="s">
        <v>146</v>
      </c>
    </row>
    <row r="28" spans="1:8" x14ac:dyDescent="0.2">
      <c r="A28" s="27">
        <v>22</v>
      </c>
      <c r="B28" s="28" t="s">
        <v>526</v>
      </c>
      <c r="C28" s="28" t="s">
        <v>527</v>
      </c>
      <c r="D28" s="28" t="s">
        <v>275</v>
      </c>
      <c r="E28" s="29">
        <v>14000</v>
      </c>
      <c r="F28" s="30">
        <v>1723.491</v>
      </c>
      <c r="G28" s="31">
        <v>1.3266399999999999E-2</v>
      </c>
      <c r="H28" s="24" t="s">
        <v>146</v>
      </c>
    </row>
    <row r="29" spans="1:8" x14ac:dyDescent="0.2">
      <c r="A29" s="27">
        <v>23</v>
      </c>
      <c r="B29" s="28" t="s">
        <v>221</v>
      </c>
      <c r="C29" s="28" t="s">
        <v>222</v>
      </c>
      <c r="D29" s="28" t="s">
        <v>223</v>
      </c>
      <c r="E29" s="29">
        <v>244000</v>
      </c>
      <c r="F29" s="30">
        <v>1717.5160000000001</v>
      </c>
      <c r="G29" s="31">
        <v>1.32204E-2</v>
      </c>
      <c r="H29" s="24" t="s">
        <v>146</v>
      </c>
    </row>
    <row r="30" spans="1:8" x14ac:dyDescent="0.2">
      <c r="A30" s="27">
        <v>24</v>
      </c>
      <c r="B30" s="28" t="s">
        <v>17</v>
      </c>
      <c r="C30" s="28" t="s">
        <v>18</v>
      </c>
      <c r="D30" s="28" t="s">
        <v>19</v>
      </c>
      <c r="E30" s="29">
        <v>105000</v>
      </c>
      <c r="F30" s="30">
        <v>1707.615</v>
      </c>
      <c r="G30" s="31">
        <v>1.314419E-2</v>
      </c>
      <c r="H30" s="24" t="s">
        <v>146</v>
      </c>
    </row>
    <row r="31" spans="1:8" x14ac:dyDescent="0.2">
      <c r="A31" s="27">
        <v>25</v>
      </c>
      <c r="B31" s="28" t="s">
        <v>234</v>
      </c>
      <c r="C31" s="28" t="s">
        <v>235</v>
      </c>
      <c r="D31" s="28" t="s">
        <v>205</v>
      </c>
      <c r="E31" s="29">
        <v>22000</v>
      </c>
      <c r="F31" s="30">
        <v>1699.2139999999999</v>
      </c>
      <c r="G31" s="31">
        <v>1.3079530000000001E-2</v>
      </c>
      <c r="H31" s="24" t="s">
        <v>146</v>
      </c>
    </row>
    <row r="32" spans="1:8" x14ac:dyDescent="0.2">
      <c r="A32" s="27">
        <v>26</v>
      </c>
      <c r="B32" s="28" t="s">
        <v>805</v>
      </c>
      <c r="C32" s="28" t="s">
        <v>806</v>
      </c>
      <c r="D32" s="28" t="s">
        <v>39</v>
      </c>
      <c r="E32" s="29">
        <v>128000</v>
      </c>
      <c r="F32" s="30">
        <v>1659.904</v>
      </c>
      <c r="G32" s="31">
        <v>1.2776940000000001E-2</v>
      </c>
      <c r="H32" s="24" t="s">
        <v>146</v>
      </c>
    </row>
    <row r="33" spans="1:8" x14ac:dyDescent="0.2">
      <c r="A33" s="27">
        <v>27</v>
      </c>
      <c r="B33" s="28" t="s">
        <v>333</v>
      </c>
      <c r="C33" s="28" t="s">
        <v>334</v>
      </c>
      <c r="D33" s="28" t="s">
        <v>33</v>
      </c>
      <c r="E33" s="29">
        <v>83000</v>
      </c>
      <c r="F33" s="30">
        <v>1578.079</v>
      </c>
      <c r="G33" s="31">
        <v>1.2147099999999999E-2</v>
      </c>
      <c r="H33" s="24" t="s">
        <v>146</v>
      </c>
    </row>
    <row r="34" spans="1:8" x14ac:dyDescent="0.2">
      <c r="A34" s="27">
        <v>28</v>
      </c>
      <c r="B34" s="28" t="s">
        <v>463</v>
      </c>
      <c r="C34" s="28" t="s">
        <v>464</v>
      </c>
      <c r="D34" s="28" t="s">
        <v>120</v>
      </c>
      <c r="E34" s="29">
        <v>174133</v>
      </c>
      <c r="F34" s="30">
        <v>1529.2360060000001</v>
      </c>
      <c r="G34" s="31">
        <v>1.1771139999999999E-2</v>
      </c>
      <c r="H34" s="24" t="s">
        <v>146</v>
      </c>
    </row>
    <row r="35" spans="1:8" x14ac:dyDescent="0.2">
      <c r="A35" s="27">
        <v>29</v>
      </c>
      <c r="B35" s="28" t="s">
        <v>697</v>
      </c>
      <c r="C35" s="28" t="s">
        <v>698</v>
      </c>
      <c r="D35" s="28" t="s">
        <v>275</v>
      </c>
      <c r="E35" s="29">
        <v>24000</v>
      </c>
      <c r="F35" s="30">
        <v>1514.712</v>
      </c>
      <c r="G35" s="31">
        <v>1.1659340000000001E-2</v>
      </c>
      <c r="H35" s="24" t="s">
        <v>146</v>
      </c>
    </row>
    <row r="36" spans="1:8" x14ac:dyDescent="0.2">
      <c r="A36" s="27">
        <v>30</v>
      </c>
      <c r="B36" s="28" t="s">
        <v>363</v>
      </c>
      <c r="C36" s="28" t="s">
        <v>364</v>
      </c>
      <c r="D36" s="28" t="s">
        <v>39</v>
      </c>
      <c r="E36" s="29">
        <v>40000</v>
      </c>
      <c r="F36" s="30">
        <v>1396.1</v>
      </c>
      <c r="G36" s="31">
        <v>1.074634E-2</v>
      </c>
      <c r="H36" s="24" t="s">
        <v>146</v>
      </c>
    </row>
    <row r="37" spans="1:8" x14ac:dyDescent="0.2">
      <c r="A37" s="27">
        <v>31</v>
      </c>
      <c r="B37" s="28" t="s">
        <v>807</v>
      </c>
      <c r="C37" s="28" t="s">
        <v>808</v>
      </c>
      <c r="D37" s="28" t="s">
        <v>205</v>
      </c>
      <c r="E37" s="29">
        <v>333526</v>
      </c>
      <c r="F37" s="30">
        <v>1387.801686</v>
      </c>
      <c r="G37" s="31">
        <v>1.068246E-2</v>
      </c>
      <c r="H37" s="24" t="s">
        <v>146</v>
      </c>
    </row>
    <row r="38" spans="1:8" ht="25.5" x14ac:dyDescent="0.2">
      <c r="A38" s="27">
        <v>32</v>
      </c>
      <c r="B38" s="28" t="s">
        <v>437</v>
      </c>
      <c r="C38" s="28" t="s">
        <v>438</v>
      </c>
      <c r="D38" s="28" t="s">
        <v>198</v>
      </c>
      <c r="E38" s="29">
        <v>93000</v>
      </c>
      <c r="F38" s="30">
        <v>1375.8420000000001</v>
      </c>
      <c r="G38" s="31">
        <v>1.05904E-2</v>
      </c>
      <c r="H38" s="24" t="s">
        <v>146</v>
      </c>
    </row>
    <row r="39" spans="1:8" x14ac:dyDescent="0.2">
      <c r="A39" s="27">
        <v>33</v>
      </c>
      <c r="B39" s="28" t="s">
        <v>357</v>
      </c>
      <c r="C39" s="28" t="s">
        <v>358</v>
      </c>
      <c r="D39" s="28" t="s">
        <v>275</v>
      </c>
      <c r="E39" s="29">
        <v>189000</v>
      </c>
      <c r="F39" s="30">
        <v>1353.4290000000001</v>
      </c>
      <c r="G39" s="31">
        <v>1.0417879999999999E-2</v>
      </c>
      <c r="H39" s="24" t="s">
        <v>146</v>
      </c>
    </row>
    <row r="40" spans="1:8" x14ac:dyDescent="0.2">
      <c r="A40" s="27">
        <v>34</v>
      </c>
      <c r="B40" s="28" t="s">
        <v>186</v>
      </c>
      <c r="C40" s="28" t="s">
        <v>187</v>
      </c>
      <c r="D40" s="28" t="s">
        <v>33</v>
      </c>
      <c r="E40" s="29">
        <v>722000</v>
      </c>
      <c r="F40" s="30">
        <v>1351.6561999999999</v>
      </c>
      <c r="G40" s="31">
        <v>1.040424E-2</v>
      </c>
      <c r="H40" s="24" t="s">
        <v>146</v>
      </c>
    </row>
    <row r="41" spans="1:8" x14ac:dyDescent="0.2">
      <c r="A41" s="27">
        <v>35</v>
      </c>
      <c r="B41" s="28" t="s">
        <v>125</v>
      </c>
      <c r="C41" s="28" t="s">
        <v>126</v>
      </c>
      <c r="D41" s="28" t="s">
        <v>80</v>
      </c>
      <c r="E41" s="29">
        <v>398000</v>
      </c>
      <c r="F41" s="30">
        <v>1277.779</v>
      </c>
      <c r="G41" s="31">
        <v>9.8355700000000001E-3</v>
      </c>
      <c r="H41" s="24" t="s">
        <v>146</v>
      </c>
    </row>
    <row r="42" spans="1:8" x14ac:dyDescent="0.2">
      <c r="A42" s="27">
        <v>36</v>
      </c>
      <c r="B42" s="28" t="s">
        <v>524</v>
      </c>
      <c r="C42" s="28" t="s">
        <v>525</v>
      </c>
      <c r="D42" s="28" t="s">
        <v>226</v>
      </c>
      <c r="E42" s="29">
        <v>88000</v>
      </c>
      <c r="F42" s="30">
        <v>1253.1199999999999</v>
      </c>
      <c r="G42" s="31">
        <v>9.6457599999999998E-3</v>
      </c>
      <c r="H42" s="24" t="s">
        <v>146</v>
      </c>
    </row>
    <row r="43" spans="1:8" ht="25.5" x14ac:dyDescent="0.2">
      <c r="A43" s="27">
        <v>37</v>
      </c>
      <c r="B43" s="28" t="s">
        <v>443</v>
      </c>
      <c r="C43" s="28" t="s">
        <v>444</v>
      </c>
      <c r="D43" s="28" t="s">
        <v>218</v>
      </c>
      <c r="E43" s="29">
        <v>120522</v>
      </c>
      <c r="F43" s="30">
        <v>1234.9286729999999</v>
      </c>
      <c r="G43" s="31">
        <v>9.5057400000000004E-3</v>
      </c>
      <c r="H43" s="24" t="s">
        <v>146</v>
      </c>
    </row>
    <row r="44" spans="1:8" x14ac:dyDescent="0.2">
      <c r="A44" s="27">
        <v>38</v>
      </c>
      <c r="B44" s="28" t="s">
        <v>331</v>
      </c>
      <c r="C44" s="28" t="s">
        <v>332</v>
      </c>
      <c r="D44" s="28" t="s">
        <v>205</v>
      </c>
      <c r="E44" s="29">
        <v>549000</v>
      </c>
      <c r="F44" s="30">
        <v>1209.7215000000001</v>
      </c>
      <c r="G44" s="31">
        <v>9.3117100000000008E-3</v>
      </c>
      <c r="H44" s="24" t="s">
        <v>146</v>
      </c>
    </row>
    <row r="45" spans="1:8" ht="25.5" x14ac:dyDescent="0.2">
      <c r="A45" s="27">
        <v>39</v>
      </c>
      <c r="B45" s="28" t="s">
        <v>121</v>
      </c>
      <c r="C45" s="28" t="s">
        <v>122</v>
      </c>
      <c r="D45" s="28" t="s">
        <v>96</v>
      </c>
      <c r="E45" s="29">
        <v>189000</v>
      </c>
      <c r="F45" s="30">
        <v>1193.7239999999999</v>
      </c>
      <c r="G45" s="31">
        <v>9.1885700000000001E-3</v>
      </c>
      <c r="H45" s="24" t="s">
        <v>146</v>
      </c>
    </row>
    <row r="46" spans="1:8" x14ac:dyDescent="0.2">
      <c r="A46" s="27">
        <v>40</v>
      </c>
      <c r="B46" s="28" t="s">
        <v>738</v>
      </c>
      <c r="C46" s="28" t="s">
        <v>739</v>
      </c>
      <c r="D46" s="28" t="s">
        <v>208</v>
      </c>
      <c r="E46" s="29">
        <v>65000</v>
      </c>
      <c r="F46" s="30">
        <v>1167.9849999999999</v>
      </c>
      <c r="G46" s="31">
        <v>8.9904500000000005E-3</v>
      </c>
      <c r="H46" s="24" t="s">
        <v>146</v>
      </c>
    </row>
    <row r="47" spans="1:8" ht="25.5" x14ac:dyDescent="0.2">
      <c r="A47" s="27">
        <v>41</v>
      </c>
      <c r="B47" s="28" t="s">
        <v>285</v>
      </c>
      <c r="C47" s="28" t="s">
        <v>286</v>
      </c>
      <c r="D47" s="28" t="s">
        <v>190</v>
      </c>
      <c r="E47" s="29">
        <v>33000</v>
      </c>
      <c r="F47" s="30">
        <v>1149.6375</v>
      </c>
      <c r="G47" s="31">
        <v>8.8492199999999997E-3</v>
      </c>
      <c r="H47" s="24" t="s">
        <v>146</v>
      </c>
    </row>
    <row r="48" spans="1:8" x14ac:dyDescent="0.2">
      <c r="A48" s="27">
        <v>42</v>
      </c>
      <c r="B48" s="28" t="s">
        <v>106</v>
      </c>
      <c r="C48" s="28" t="s">
        <v>107</v>
      </c>
      <c r="D48" s="28" t="s">
        <v>36</v>
      </c>
      <c r="E48" s="29">
        <v>19000</v>
      </c>
      <c r="F48" s="30">
        <v>1116.1835000000001</v>
      </c>
      <c r="G48" s="31">
        <v>8.5917100000000007E-3</v>
      </c>
      <c r="H48" s="24" t="s">
        <v>146</v>
      </c>
    </row>
    <row r="49" spans="1:8" x14ac:dyDescent="0.2">
      <c r="A49" s="27">
        <v>43</v>
      </c>
      <c r="B49" s="28" t="s">
        <v>34</v>
      </c>
      <c r="C49" s="28" t="s">
        <v>35</v>
      </c>
      <c r="D49" s="28" t="s">
        <v>36</v>
      </c>
      <c r="E49" s="29">
        <v>60000</v>
      </c>
      <c r="F49" s="30">
        <v>1072.5</v>
      </c>
      <c r="G49" s="31">
        <v>8.2554599999999992E-3</v>
      </c>
      <c r="H49" s="24" t="s">
        <v>146</v>
      </c>
    </row>
    <row r="50" spans="1:8" ht="25.5" x14ac:dyDescent="0.2">
      <c r="A50" s="27">
        <v>44</v>
      </c>
      <c r="B50" s="28" t="s">
        <v>293</v>
      </c>
      <c r="C50" s="28" t="s">
        <v>294</v>
      </c>
      <c r="D50" s="28" t="s">
        <v>198</v>
      </c>
      <c r="E50" s="29">
        <v>44000</v>
      </c>
      <c r="F50" s="30">
        <v>1071.576</v>
      </c>
      <c r="G50" s="31">
        <v>8.2483499999999998E-3</v>
      </c>
      <c r="H50" s="24" t="s">
        <v>146</v>
      </c>
    </row>
    <row r="51" spans="1:8" x14ac:dyDescent="0.2">
      <c r="A51" s="27">
        <v>45</v>
      </c>
      <c r="B51" s="28" t="s">
        <v>20</v>
      </c>
      <c r="C51" s="28" t="s">
        <v>21</v>
      </c>
      <c r="D51" s="28" t="s">
        <v>22</v>
      </c>
      <c r="E51" s="29">
        <v>327000</v>
      </c>
      <c r="F51" s="30">
        <v>1059.48</v>
      </c>
      <c r="G51" s="31">
        <v>8.1552399999999994E-3</v>
      </c>
      <c r="H51" s="24" t="s">
        <v>146</v>
      </c>
    </row>
    <row r="52" spans="1:8" ht="25.5" x14ac:dyDescent="0.2">
      <c r="A52" s="27">
        <v>46</v>
      </c>
      <c r="B52" s="28" t="s">
        <v>773</v>
      </c>
      <c r="C52" s="28" t="s">
        <v>774</v>
      </c>
      <c r="D52" s="28" t="s">
        <v>258</v>
      </c>
      <c r="E52" s="29">
        <v>36000</v>
      </c>
      <c r="F52" s="30">
        <v>1033.8119999999999</v>
      </c>
      <c r="G52" s="31">
        <v>7.9576600000000001E-3</v>
      </c>
      <c r="H52" s="24" t="s">
        <v>146</v>
      </c>
    </row>
    <row r="53" spans="1:8" x14ac:dyDescent="0.2">
      <c r="A53" s="27">
        <v>47</v>
      </c>
      <c r="B53" s="28" t="s">
        <v>809</v>
      </c>
      <c r="C53" s="28" t="s">
        <v>810</v>
      </c>
      <c r="D53" s="28" t="s">
        <v>56</v>
      </c>
      <c r="E53" s="29">
        <v>225000</v>
      </c>
      <c r="F53" s="30">
        <v>946.01250000000005</v>
      </c>
      <c r="G53" s="31">
        <v>7.2818400000000004E-3</v>
      </c>
      <c r="H53" s="24" t="s">
        <v>146</v>
      </c>
    </row>
    <row r="54" spans="1:8" x14ac:dyDescent="0.2">
      <c r="A54" s="27">
        <v>48</v>
      </c>
      <c r="B54" s="28" t="s">
        <v>84</v>
      </c>
      <c r="C54" s="28" t="s">
        <v>85</v>
      </c>
      <c r="D54" s="28" t="s">
        <v>42</v>
      </c>
      <c r="E54" s="29">
        <v>100000</v>
      </c>
      <c r="F54" s="30">
        <v>903.45</v>
      </c>
      <c r="G54" s="31">
        <v>6.9542099999999997E-3</v>
      </c>
      <c r="H54" s="24" t="s">
        <v>146</v>
      </c>
    </row>
    <row r="55" spans="1:8" x14ac:dyDescent="0.2">
      <c r="A55" s="27">
        <v>49</v>
      </c>
      <c r="B55" s="28" t="s">
        <v>315</v>
      </c>
      <c r="C55" s="28" t="s">
        <v>316</v>
      </c>
      <c r="D55" s="28" t="s">
        <v>39</v>
      </c>
      <c r="E55" s="29">
        <v>86000</v>
      </c>
      <c r="F55" s="30">
        <v>852.60400000000004</v>
      </c>
      <c r="G55" s="31">
        <v>6.5628300000000004E-3</v>
      </c>
      <c r="H55" s="24" t="s">
        <v>146</v>
      </c>
    </row>
    <row r="56" spans="1:8" x14ac:dyDescent="0.2">
      <c r="A56" s="27">
        <v>50</v>
      </c>
      <c r="B56" s="28" t="s">
        <v>227</v>
      </c>
      <c r="C56" s="28" t="s">
        <v>228</v>
      </c>
      <c r="D56" s="28" t="s">
        <v>83</v>
      </c>
      <c r="E56" s="29">
        <v>193000</v>
      </c>
      <c r="F56" s="30">
        <v>843.98900000000003</v>
      </c>
      <c r="G56" s="31">
        <v>6.4965200000000004E-3</v>
      </c>
      <c r="H56" s="24" t="s">
        <v>146</v>
      </c>
    </row>
    <row r="57" spans="1:8" x14ac:dyDescent="0.2">
      <c r="A57" s="27">
        <v>51</v>
      </c>
      <c r="B57" s="28" t="s">
        <v>359</v>
      </c>
      <c r="C57" s="28" t="s">
        <v>360</v>
      </c>
      <c r="D57" s="28" t="s">
        <v>30</v>
      </c>
      <c r="E57" s="29">
        <v>20800</v>
      </c>
      <c r="F57" s="30">
        <v>818.85440000000006</v>
      </c>
      <c r="G57" s="31">
        <v>6.3030500000000001E-3</v>
      </c>
      <c r="H57" s="24" t="s">
        <v>146</v>
      </c>
    </row>
    <row r="58" spans="1:8" ht="25.5" x14ac:dyDescent="0.2">
      <c r="A58" s="27">
        <v>52</v>
      </c>
      <c r="B58" s="28" t="s">
        <v>415</v>
      </c>
      <c r="C58" s="28" t="s">
        <v>416</v>
      </c>
      <c r="D58" s="28" t="s">
        <v>198</v>
      </c>
      <c r="E58" s="29">
        <v>136029</v>
      </c>
      <c r="F58" s="30">
        <v>794.4773745</v>
      </c>
      <c r="G58" s="31">
        <v>6.1154099999999999E-3</v>
      </c>
      <c r="H58" s="24" t="s">
        <v>146</v>
      </c>
    </row>
    <row r="59" spans="1:8" ht="25.5" x14ac:dyDescent="0.2">
      <c r="A59" s="27">
        <v>53</v>
      </c>
      <c r="B59" s="28" t="s">
        <v>471</v>
      </c>
      <c r="C59" s="28" t="s">
        <v>472</v>
      </c>
      <c r="D59" s="28" t="s">
        <v>198</v>
      </c>
      <c r="E59" s="29">
        <v>5576</v>
      </c>
      <c r="F59" s="30">
        <v>787.51799600000004</v>
      </c>
      <c r="G59" s="31">
        <v>6.0618399999999998E-3</v>
      </c>
      <c r="H59" s="24" t="s">
        <v>146</v>
      </c>
    </row>
    <row r="60" spans="1:8" x14ac:dyDescent="0.2">
      <c r="A60" s="27">
        <v>54</v>
      </c>
      <c r="B60" s="28" t="s">
        <v>97</v>
      </c>
      <c r="C60" s="28" t="s">
        <v>98</v>
      </c>
      <c r="D60" s="28" t="s">
        <v>99</v>
      </c>
      <c r="E60" s="29">
        <v>414000</v>
      </c>
      <c r="F60" s="30">
        <v>733.27679999999998</v>
      </c>
      <c r="G60" s="31">
        <v>5.6443200000000004E-3</v>
      </c>
      <c r="H60" s="24" t="s">
        <v>146</v>
      </c>
    </row>
    <row r="61" spans="1:8" x14ac:dyDescent="0.2">
      <c r="A61" s="27">
        <v>55</v>
      </c>
      <c r="B61" s="28" t="s">
        <v>219</v>
      </c>
      <c r="C61" s="28" t="s">
        <v>220</v>
      </c>
      <c r="D61" s="28" t="s">
        <v>16</v>
      </c>
      <c r="E61" s="29">
        <v>180000</v>
      </c>
      <c r="F61" s="30">
        <v>644.85</v>
      </c>
      <c r="G61" s="31">
        <v>4.9636699999999999E-3</v>
      </c>
      <c r="H61" s="24" t="s">
        <v>146</v>
      </c>
    </row>
    <row r="62" spans="1:8" x14ac:dyDescent="0.2">
      <c r="A62" s="27">
        <v>56</v>
      </c>
      <c r="B62" s="28" t="s">
        <v>352</v>
      </c>
      <c r="C62" s="28" t="s">
        <v>353</v>
      </c>
      <c r="D62" s="28" t="s">
        <v>354</v>
      </c>
      <c r="E62" s="29">
        <v>42000</v>
      </c>
      <c r="F62" s="30">
        <v>633.33900000000006</v>
      </c>
      <c r="G62" s="31">
        <v>4.8750599999999996E-3</v>
      </c>
      <c r="H62" s="24" t="s">
        <v>146</v>
      </c>
    </row>
    <row r="63" spans="1:8" x14ac:dyDescent="0.2">
      <c r="A63" s="27">
        <v>57</v>
      </c>
      <c r="B63" s="28" t="s">
        <v>114</v>
      </c>
      <c r="C63" s="28" t="s">
        <v>115</v>
      </c>
      <c r="D63" s="28" t="s">
        <v>83</v>
      </c>
      <c r="E63" s="29">
        <v>18000</v>
      </c>
      <c r="F63" s="30">
        <v>616.64400000000001</v>
      </c>
      <c r="G63" s="31">
        <v>4.7465500000000004E-3</v>
      </c>
      <c r="H63" s="24" t="s">
        <v>146</v>
      </c>
    </row>
    <row r="64" spans="1:8" x14ac:dyDescent="0.2">
      <c r="A64" s="27">
        <v>58</v>
      </c>
      <c r="B64" s="28" t="s">
        <v>291</v>
      </c>
      <c r="C64" s="28" t="s">
        <v>292</v>
      </c>
      <c r="D64" s="28" t="s">
        <v>280</v>
      </c>
      <c r="E64" s="29">
        <v>55000</v>
      </c>
      <c r="F64" s="30">
        <v>613.66250000000002</v>
      </c>
      <c r="G64" s="31">
        <v>4.7236099999999996E-3</v>
      </c>
      <c r="H64" s="24" t="s">
        <v>146</v>
      </c>
    </row>
    <row r="65" spans="1:8" x14ac:dyDescent="0.2">
      <c r="A65" s="27">
        <v>59</v>
      </c>
      <c r="B65" s="28" t="s">
        <v>278</v>
      </c>
      <c r="C65" s="28" t="s">
        <v>279</v>
      </c>
      <c r="D65" s="28" t="s">
        <v>280</v>
      </c>
      <c r="E65" s="29">
        <v>99000</v>
      </c>
      <c r="F65" s="30">
        <v>609.84</v>
      </c>
      <c r="G65" s="31">
        <v>4.6941800000000001E-3</v>
      </c>
      <c r="H65" s="24" t="s">
        <v>146</v>
      </c>
    </row>
    <row r="66" spans="1:8" x14ac:dyDescent="0.2">
      <c r="A66" s="27">
        <v>60</v>
      </c>
      <c r="B66" s="28" t="s">
        <v>811</v>
      </c>
      <c r="C66" s="28" t="s">
        <v>812</v>
      </c>
      <c r="D66" s="28" t="s">
        <v>275</v>
      </c>
      <c r="E66" s="29">
        <v>33929</v>
      </c>
      <c r="F66" s="30">
        <v>569.17593950000003</v>
      </c>
      <c r="G66" s="31">
        <v>4.3811700000000002E-3</v>
      </c>
      <c r="H66" s="24" t="s">
        <v>146</v>
      </c>
    </row>
    <row r="67" spans="1:8" ht="25.5" x14ac:dyDescent="0.2">
      <c r="A67" s="27">
        <v>61</v>
      </c>
      <c r="B67" s="28" t="s">
        <v>73</v>
      </c>
      <c r="C67" s="28" t="s">
        <v>74</v>
      </c>
      <c r="D67" s="28" t="s">
        <v>75</v>
      </c>
      <c r="E67" s="29">
        <v>47000</v>
      </c>
      <c r="F67" s="30">
        <v>516.69449999999995</v>
      </c>
      <c r="G67" s="31">
        <v>3.9772000000000002E-3</v>
      </c>
      <c r="H67" s="24" t="s">
        <v>146</v>
      </c>
    </row>
    <row r="68" spans="1:8" ht="25.5" x14ac:dyDescent="0.2">
      <c r="A68" s="27">
        <v>62</v>
      </c>
      <c r="B68" s="28" t="s">
        <v>703</v>
      </c>
      <c r="C68" s="28" t="s">
        <v>704</v>
      </c>
      <c r="D68" s="28" t="s">
        <v>25</v>
      </c>
      <c r="E68" s="29">
        <v>21069</v>
      </c>
      <c r="F68" s="30">
        <v>393.22128149999998</v>
      </c>
      <c r="G68" s="31">
        <v>3.0267800000000002E-3</v>
      </c>
      <c r="H68" s="24" t="s">
        <v>146</v>
      </c>
    </row>
    <row r="69" spans="1:8" ht="25.5" x14ac:dyDescent="0.2">
      <c r="A69" s="27">
        <v>63</v>
      </c>
      <c r="B69" s="28" t="s">
        <v>301</v>
      </c>
      <c r="C69" s="28" t="s">
        <v>302</v>
      </c>
      <c r="D69" s="28" t="s">
        <v>258</v>
      </c>
      <c r="E69" s="29">
        <v>7000</v>
      </c>
      <c r="F69" s="30">
        <v>290.40899999999999</v>
      </c>
      <c r="G69" s="31">
        <v>2.2353899999999999E-3</v>
      </c>
      <c r="H69" s="24" t="s">
        <v>146</v>
      </c>
    </row>
    <row r="70" spans="1:8" x14ac:dyDescent="0.2">
      <c r="A70" s="27">
        <v>64</v>
      </c>
      <c r="B70" s="28" t="s">
        <v>63</v>
      </c>
      <c r="C70" s="28" t="s">
        <v>64</v>
      </c>
      <c r="D70" s="28" t="s">
        <v>19</v>
      </c>
      <c r="E70" s="29">
        <v>20000</v>
      </c>
      <c r="F70" s="30">
        <v>270.98</v>
      </c>
      <c r="G70" s="31">
        <v>2.0858399999999998E-3</v>
      </c>
      <c r="H70" s="24" t="s">
        <v>146</v>
      </c>
    </row>
    <row r="71" spans="1:8" x14ac:dyDescent="0.2">
      <c r="A71" s="27">
        <v>65</v>
      </c>
      <c r="B71" s="28" t="s">
        <v>453</v>
      </c>
      <c r="C71" s="28" t="s">
        <v>454</v>
      </c>
      <c r="D71" s="28" t="s">
        <v>223</v>
      </c>
      <c r="E71" s="29">
        <v>57900</v>
      </c>
      <c r="F71" s="30">
        <v>94.348050000000001</v>
      </c>
      <c r="G71" s="31">
        <v>7.2623000000000002E-4</v>
      </c>
      <c r="H71" s="24" t="s">
        <v>146</v>
      </c>
    </row>
    <row r="72" spans="1:8" x14ac:dyDescent="0.2">
      <c r="A72" s="25"/>
      <c r="B72" s="25"/>
      <c r="C72" s="26" t="s">
        <v>145</v>
      </c>
      <c r="D72" s="25"/>
      <c r="E72" s="25" t="s">
        <v>146</v>
      </c>
      <c r="F72" s="32">
        <f>SUM(F7:F71)</f>
        <v>120554.80453200005</v>
      </c>
      <c r="G72" s="33">
        <f>SUM(G7:G71)</f>
        <v>0.92795829999999968</v>
      </c>
      <c r="H72" s="24" t="s">
        <v>146</v>
      </c>
    </row>
    <row r="73" spans="1:8" x14ac:dyDescent="0.2">
      <c r="A73" s="25"/>
      <c r="B73" s="25"/>
      <c r="C73" s="34"/>
      <c r="D73" s="25"/>
      <c r="E73" s="25"/>
      <c r="F73" s="35"/>
      <c r="G73" s="35"/>
      <c r="H73" s="24" t="s">
        <v>146</v>
      </c>
    </row>
    <row r="74" spans="1:8" x14ac:dyDescent="0.2">
      <c r="A74" s="25"/>
      <c r="B74" s="25"/>
      <c r="C74" s="26" t="s">
        <v>147</v>
      </c>
      <c r="D74" s="25"/>
      <c r="E74" s="25"/>
      <c r="F74" s="25"/>
      <c r="G74" s="25"/>
      <c r="H74" s="24" t="s">
        <v>146</v>
      </c>
    </row>
    <row r="75" spans="1:8" x14ac:dyDescent="0.2">
      <c r="A75" s="25"/>
      <c r="B75" s="25"/>
      <c r="C75" s="26" t="s">
        <v>145</v>
      </c>
      <c r="D75" s="25"/>
      <c r="E75" s="25" t="s">
        <v>146</v>
      </c>
      <c r="F75" s="36" t="s">
        <v>148</v>
      </c>
      <c r="G75" s="33">
        <v>0</v>
      </c>
      <c r="H75" s="24" t="s">
        <v>146</v>
      </c>
    </row>
    <row r="76" spans="1:8" x14ac:dyDescent="0.2">
      <c r="A76" s="25"/>
      <c r="B76" s="25"/>
      <c r="C76" s="34"/>
      <c r="D76" s="25"/>
      <c r="E76" s="25"/>
      <c r="F76" s="35"/>
      <c r="G76" s="35"/>
      <c r="H76" s="24" t="s">
        <v>146</v>
      </c>
    </row>
    <row r="77" spans="1:8" x14ac:dyDescent="0.2">
      <c r="A77" s="25"/>
      <c r="B77" s="25"/>
      <c r="C77" s="26" t="s">
        <v>149</v>
      </c>
      <c r="D77" s="25"/>
      <c r="E77" s="25"/>
      <c r="F77" s="25"/>
      <c r="G77" s="25"/>
      <c r="H77" s="24" t="s">
        <v>146</v>
      </c>
    </row>
    <row r="78" spans="1:8" x14ac:dyDescent="0.2">
      <c r="A78" s="27">
        <v>1</v>
      </c>
      <c r="B78" s="28" t="s">
        <v>540</v>
      </c>
      <c r="C78" s="37" t="s">
        <v>995</v>
      </c>
      <c r="D78" s="28" t="s">
        <v>223</v>
      </c>
      <c r="E78" s="29">
        <v>374002</v>
      </c>
      <c r="F78" s="30">
        <v>65.562550599999994</v>
      </c>
      <c r="G78" s="31">
        <v>5.0465999999999998E-4</v>
      </c>
      <c r="H78" s="24" t="s">
        <v>146</v>
      </c>
    </row>
    <row r="79" spans="1:8" x14ac:dyDescent="0.2">
      <c r="A79" s="27">
        <v>2</v>
      </c>
      <c r="B79" s="28" t="s">
        <v>745</v>
      </c>
      <c r="C79" s="37" t="s">
        <v>999</v>
      </c>
      <c r="D79" s="28"/>
      <c r="E79" s="29">
        <v>200000</v>
      </c>
      <c r="F79" s="30">
        <v>1.9999999999999999E-6</v>
      </c>
      <c r="G79" s="38" t="s">
        <v>144</v>
      </c>
      <c r="H79" s="24" t="s">
        <v>146</v>
      </c>
    </row>
    <row r="80" spans="1:8" x14ac:dyDescent="0.2">
      <c r="A80" s="25"/>
      <c r="B80" s="25"/>
      <c r="C80" s="26" t="s">
        <v>145</v>
      </c>
      <c r="D80" s="25"/>
      <c r="E80" s="25" t="s">
        <v>146</v>
      </c>
      <c r="F80" s="32">
        <f>SUM(F78:F79)</f>
        <v>65.562552599999989</v>
      </c>
      <c r="G80" s="33">
        <f>SUM(G78:G79)</f>
        <v>5.0465999999999998E-4</v>
      </c>
      <c r="H80" s="24" t="s">
        <v>146</v>
      </c>
    </row>
    <row r="81" spans="1:8" x14ac:dyDescent="0.2">
      <c r="A81" s="25"/>
      <c r="B81" s="25"/>
      <c r="C81" s="34"/>
      <c r="D81" s="25"/>
      <c r="E81" s="25"/>
      <c r="F81" s="35"/>
      <c r="G81" s="35"/>
      <c r="H81" s="24" t="s">
        <v>146</v>
      </c>
    </row>
    <row r="82" spans="1:8" x14ac:dyDescent="0.2">
      <c r="A82" s="25"/>
      <c r="B82" s="25"/>
      <c r="C82" s="26" t="s">
        <v>150</v>
      </c>
      <c r="D82" s="25"/>
      <c r="E82" s="25"/>
      <c r="F82" s="25"/>
      <c r="G82" s="25"/>
      <c r="H82" s="24" t="s">
        <v>146</v>
      </c>
    </row>
    <row r="83" spans="1:8" x14ac:dyDescent="0.2">
      <c r="A83" s="27">
        <v>1</v>
      </c>
      <c r="B83" s="28" t="s">
        <v>455</v>
      </c>
      <c r="C83" s="37" t="s">
        <v>877</v>
      </c>
      <c r="D83" s="28" t="s">
        <v>19</v>
      </c>
      <c r="E83" s="29">
        <v>283000</v>
      </c>
      <c r="F83" s="30">
        <v>3393.8775000000001</v>
      </c>
      <c r="G83" s="31">
        <v>2.6124029999999999E-2</v>
      </c>
      <c r="H83" s="24" t="s">
        <v>146</v>
      </c>
    </row>
    <row r="84" spans="1:8" x14ac:dyDescent="0.2">
      <c r="A84" s="25"/>
      <c r="B84" s="25"/>
      <c r="C84" s="26" t="s">
        <v>145</v>
      </c>
      <c r="D84" s="25"/>
      <c r="E84" s="25" t="s">
        <v>146</v>
      </c>
      <c r="F84" s="32">
        <f>SUM(F83)</f>
        <v>3393.8775000000001</v>
      </c>
      <c r="G84" s="33">
        <f>SUM(G83)</f>
        <v>2.6124029999999999E-2</v>
      </c>
      <c r="H84" s="24" t="s">
        <v>146</v>
      </c>
    </row>
    <row r="85" spans="1:8" x14ac:dyDescent="0.2">
      <c r="A85" s="25"/>
      <c r="B85" s="25"/>
      <c r="C85" s="34"/>
      <c r="D85" s="25"/>
      <c r="E85" s="25"/>
      <c r="F85" s="35"/>
      <c r="G85" s="35"/>
      <c r="H85" s="24" t="s">
        <v>146</v>
      </c>
    </row>
    <row r="86" spans="1:8" x14ac:dyDescent="0.2">
      <c r="A86" s="25"/>
      <c r="B86" s="25"/>
      <c r="C86" s="26" t="s">
        <v>151</v>
      </c>
      <c r="D86" s="25"/>
      <c r="E86" s="25"/>
      <c r="F86" s="35"/>
      <c r="G86" s="35"/>
      <c r="H86" s="24" t="s">
        <v>146</v>
      </c>
    </row>
    <row r="87" spans="1:8" x14ac:dyDescent="0.2">
      <c r="A87" s="25"/>
      <c r="B87" s="25"/>
      <c r="C87" s="26" t="s">
        <v>145</v>
      </c>
      <c r="D87" s="25"/>
      <c r="E87" s="25" t="s">
        <v>146</v>
      </c>
      <c r="F87" s="36" t="s">
        <v>148</v>
      </c>
      <c r="G87" s="33">
        <v>0</v>
      </c>
      <c r="H87" s="24" t="s">
        <v>146</v>
      </c>
    </row>
    <row r="88" spans="1:8" x14ac:dyDescent="0.2">
      <c r="A88" s="25"/>
      <c r="B88" s="25"/>
      <c r="C88" s="34"/>
      <c r="D88" s="25"/>
      <c r="E88" s="25"/>
      <c r="F88" s="35"/>
      <c r="G88" s="35"/>
      <c r="H88" s="24" t="s">
        <v>146</v>
      </c>
    </row>
    <row r="89" spans="1:8" x14ac:dyDescent="0.2">
      <c r="A89" s="25"/>
      <c r="B89" s="25"/>
      <c r="C89" s="26" t="s">
        <v>152</v>
      </c>
      <c r="D89" s="25"/>
      <c r="E89" s="25"/>
      <c r="F89" s="35"/>
      <c r="G89" s="35"/>
      <c r="H89" s="24" t="s">
        <v>146</v>
      </c>
    </row>
    <row r="90" spans="1:8" x14ac:dyDescent="0.2">
      <c r="A90" s="25"/>
      <c r="B90" s="25"/>
      <c r="C90" s="26" t="s">
        <v>145</v>
      </c>
      <c r="D90" s="25"/>
      <c r="E90" s="25" t="s">
        <v>146</v>
      </c>
      <c r="F90" s="36" t="s">
        <v>148</v>
      </c>
      <c r="G90" s="33">
        <v>0</v>
      </c>
      <c r="H90" s="24" t="s">
        <v>146</v>
      </c>
    </row>
    <row r="91" spans="1:8" x14ac:dyDescent="0.2">
      <c r="A91" s="25"/>
      <c r="B91" s="25"/>
      <c r="C91" s="34"/>
      <c r="D91" s="25"/>
      <c r="E91" s="25"/>
      <c r="F91" s="35"/>
      <c r="G91" s="35"/>
      <c r="H91" s="24" t="s">
        <v>146</v>
      </c>
    </row>
    <row r="92" spans="1:8" x14ac:dyDescent="0.2">
      <c r="A92" s="25"/>
      <c r="B92" s="25"/>
      <c r="C92" s="26" t="s">
        <v>153</v>
      </c>
      <c r="D92" s="25"/>
      <c r="E92" s="25"/>
      <c r="F92" s="32">
        <v>124014.2445846</v>
      </c>
      <c r="G92" s="33">
        <v>0.95458699000000002</v>
      </c>
      <c r="H92" s="24" t="s">
        <v>146</v>
      </c>
    </row>
    <row r="93" spans="1:8" x14ac:dyDescent="0.2">
      <c r="A93" s="25"/>
      <c r="B93" s="25"/>
      <c r="C93" s="34"/>
      <c r="D93" s="25"/>
      <c r="E93" s="25"/>
      <c r="F93" s="35"/>
      <c r="G93" s="35"/>
      <c r="H93" s="24" t="s">
        <v>146</v>
      </c>
    </row>
    <row r="94" spans="1:8" x14ac:dyDescent="0.2">
      <c r="A94" s="25"/>
      <c r="B94" s="25"/>
      <c r="C94" s="26" t="s">
        <v>154</v>
      </c>
      <c r="D94" s="25"/>
      <c r="E94" s="25"/>
      <c r="F94" s="35"/>
      <c r="G94" s="35"/>
      <c r="H94" s="24" t="s">
        <v>146</v>
      </c>
    </row>
    <row r="95" spans="1:8" x14ac:dyDescent="0.2">
      <c r="A95" s="25"/>
      <c r="B95" s="25"/>
      <c r="C95" s="26" t="s">
        <v>10</v>
      </c>
      <c r="D95" s="25"/>
      <c r="E95" s="25"/>
      <c r="F95" s="35"/>
      <c r="G95" s="35"/>
      <c r="H95" s="24" t="s">
        <v>146</v>
      </c>
    </row>
    <row r="96" spans="1:8" x14ac:dyDescent="0.2">
      <c r="A96" s="25"/>
      <c r="B96" s="25"/>
      <c r="C96" s="26" t="s">
        <v>145</v>
      </c>
      <c r="D96" s="25"/>
      <c r="E96" s="25" t="s">
        <v>146</v>
      </c>
      <c r="F96" s="36" t="s">
        <v>148</v>
      </c>
      <c r="G96" s="33">
        <v>0</v>
      </c>
      <c r="H96" s="24" t="s">
        <v>146</v>
      </c>
    </row>
    <row r="97" spans="1:8" x14ac:dyDescent="0.2">
      <c r="A97" s="25"/>
      <c r="B97" s="25"/>
      <c r="C97" s="34"/>
      <c r="D97" s="25"/>
      <c r="E97" s="25"/>
      <c r="F97" s="35"/>
      <c r="G97" s="35"/>
      <c r="H97" s="24" t="s">
        <v>146</v>
      </c>
    </row>
    <row r="98" spans="1:8" x14ac:dyDescent="0.2">
      <c r="A98" s="25"/>
      <c r="B98" s="25"/>
      <c r="C98" s="26" t="s">
        <v>155</v>
      </c>
      <c r="D98" s="25"/>
      <c r="E98" s="25"/>
      <c r="F98" s="25"/>
      <c r="G98" s="25"/>
      <c r="H98" s="24" t="s">
        <v>146</v>
      </c>
    </row>
    <row r="99" spans="1:8" x14ac:dyDescent="0.2">
      <c r="A99" s="25"/>
      <c r="B99" s="25"/>
      <c r="C99" s="26" t="s">
        <v>145</v>
      </c>
      <c r="D99" s="25"/>
      <c r="E99" s="25" t="s">
        <v>146</v>
      </c>
      <c r="F99" s="36" t="s">
        <v>148</v>
      </c>
      <c r="G99" s="33">
        <v>0</v>
      </c>
      <c r="H99" s="24" t="s">
        <v>146</v>
      </c>
    </row>
    <row r="100" spans="1:8" x14ac:dyDescent="0.2">
      <c r="A100" s="25"/>
      <c r="B100" s="25"/>
      <c r="C100" s="34"/>
      <c r="D100" s="25"/>
      <c r="E100" s="25"/>
      <c r="F100" s="35"/>
      <c r="G100" s="35"/>
      <c r="H100" s="24" t="s">
        <v>146</v>
      </c>
    </row>
    <row r="101" spans="1:8" x14ac:dyDescent="0.2">
      <c r="A101" s="25"/>
      <c r="B101" s="25"/>
      <c r="C101" s="26" t="s">
        <v>156</v>
      </c>
      <c r="D101" s="25"/>
      <c r="E101" s="25"/>
      <c r="F101" s="25"/>
      <c r="G101" s="25"/>
      <c r="H101" s="24" t="s">
        <v>146</v>
      </c>
    </row>
    <row r="102" spans="1:8" x14ac:dyDescent="0.2">
      <c r="A102" s="25"/>
      <c r="B102" s="25"/>
      <c r="C102" s="26" t="s">
        <v>145</v>
      </c>
      <c r="D102" s="25"/>
      <c r="E102" s="25" t="s">
        <v>146</v>
      </c>
      <c r="F102" s="36" t="s">
        <v>148</v>
      </c>
      <c r="G102" s="33">
        <v>0</v>
      </c>
      <c r="H102" s="24" t="s">
        <v>146</v>
      </c>
    </row>
    <row r="103" spans="1:8" x14ac:dyDescent="0.2">
      <c r="A103" s="25"/>
      <c r="B103" s="25"/>
      <c r="C103" s="34"/>
      <c r="D103" s="25"/>
      <c r="E103" s="25"/>
      <c r="F103" s="35"/>
      <c r="G103" s="35"/>
      <c r="H103" s="24" t="s">
        <v>146</v>
      </c>
    </row>
    <row r="104" spans="1:8" x14ac:dyDescent="0.2">
      <c r="A104" s="25"/>
      <c r="B104" s="25"/>
      <c r="C104" s="26" t="s">
        <v>157</v>
      </c>
      <c r="D104" s="25"/>
      <c r="E104" s="25"/>
      <c r="F104" s="35"/>
      <c r="G104" s="35"/>
      <c r="H104" s="24" t="s">
        <v>146</v>
      </c>
    </row>
    <row r="105" spans="1:8" x14ac:dyDescent="0.2">
      <c r="A105" s="25"/>
      <c r="B105" s="25"/>
      <c r="C105" s="26" t="s">
        <v>145</v>
      </c>
      <c r="D105" s="25"/>
      <c r="E105" s="25" t="s">
        <v>146</v>
      </c>
      <c r="F105" s="36" t="s">
        <v>148</v>
      </c>
      <c r="G105" s="33">
        <v>0</v>
      </c>
      <c r="H105" s="24" t="s">
        <v>146</v>
      </c>
    </row>
    <row r="106" spans="1:8" x14ac:dyDescent="0.2">
      <c r="A106" s="25"/>
      <c r="B106" s="25"/>
      <c r="C106" s="34"/>
      <c r="D106" s="25"/>
      <c r="E106" s="25"/>
      <c r="F106" s="35"/>
      <c r="G106" s="35"/>
      <c r="H106" s="24" t="s">
        <v>146</v>
      </c>
    </row>
    <row r="107" spans="1:8" x14ac:dyDescent="0.2">
      <c r="A107" s="25"/>
      <c r="B107" s="25"/>
      <c r="C107" s="26" t="s">
        <v>158</v>
      </c>
      <c r="D107" s="25"/>
      <c r="E107" s="25"/>
      <c r="F107" s="32">
        <v>0</v>
      </c>
      <c r="G107" s="33">
        <v>0</v>
      </c>
      <c r="H107" s="24" t="s">
        <v>146</v>
      </c>
    </row>
    <row r="108" spans="1:8" x14ac:dyDescent="0.2">
      <c r="A108" s="25"/>
      <c r="B108" s="25"/>
      <c r="C108" s="34"/>
      <c r="D108" s="25"/>
      <c r="E108" s="25"/>
      <c r="F108" s="35"/>
      <c r="G108" s="35"/>
      <c r="H108" s="24" t="s">
        <v>146</v>
      </c>
    </row>
    <row r="109" spans="1:8" x14ac:dyDescent="0.2">
      <c r="A109" s="25"/>
      <c r="B109" s="25"/>
      <c r="C109" s="26" t="s">
        <v>159</v>
      </c>
      <c r="D109" s="25"/>
      <c r="E109" s="25"/>
      <c r="F109" s="35"/>
      <c r="G109" s="35"/>
      <c r="H109" s="24" t="s">
        <v>146</v>
      </c>
    </row>
    <row r="110" spans="1:8" x14ac:dyDescent="0.2">
      <c r="A110" s="25"/>
      <c r="B110" s="25"/>
      <c r="C110" s="26" t="s">
        <v>160</v>
      </c>
      <c r="D110" s="25"/>
      <c r="E110" s="25"/>
      <c r="F110" s="35"/>
      <c r="G110" s="35"/>
      <c r="H110" s="24" t="s">
        <v>146</v>
      </c>
    </row>
    <row r="111" spans="1:8" x14ac:dyDescent="0.2">
      <c r="A111" s="25"/>
      <c r="B111" s="25"/>
      <c r="C111" s="26" t="s">
        <v>145</v>
      </c>
      <c r="D111" s="25"/>
      <c r="E111" s="25" t="s">
        <v>146</v>
      </c>
      <c r="F111" s="36" t="s">
        <v>148</v>
      </c>
      <c r="G111" s="33">
        <v>0</v>
      </c>
      <c r="H111" s="24" t="s">
        <v>146</v>
      </c>
    </row>
    <row r="112" spans="1:8" x14ac:dyDescent="0.2">
      <c r="A112" s="25"/>
      <c r="B112" s="25"/>
      <c r="C112" s="34"/>
      <c r="D112" s="25"/>
      <c r="E112" s="25"/>
      <c r="F112" s="35"/>
      <c r="G112" s="35"/>
      <c r="H112" s="24" t="s">
        <v>146</v>
      </c>
    </row>
    <row r="113" spans="1:8" x14ac:dyDescent="0.2">
      <c r="A113" s="25"/>
      <c r="B113" s="25"/>
      <c r="C113" s="26" t="s">
        <v>161</v>
      </c>
      <c r="D113" s="25"/>
      <c r="E113" s="25"/>
      <c r="F113" s="35"/>
      <c r="G113" s="35"/>
      <c r="H113" s="24" t="s">
        <v>146</v>
      </c>
    </row>
    <row r="114" spans="1:8" x14ac:dyDescent="0.2">
      <c r="A114" s="25"/>
      <c r="B114" s="25"/>
      <c r="C114" s="26" t="s">
        <v>145</v>
      </c>
      <c r="D114" s="25"/>
      <c r="E114" s="25" t="s">
        <v>146</v>
      </c>
      <c r="F114" s="36" t="s">
        <v>148</v>
      </c>
      <c r="G114" s="33">
        <v>0</v>
      </c>
      <c r="H114" s="24" t="s">
        <v>146</v>
      </c>
    </row>
    <row r="115" spans="1:8" x14ac:dyDescent="0.2">
      <c r="A115" s="25"/>
      <c r="B115" s="25"/>
      <c r="C115" s="34"/>
      <c r="D115" s="25"/>
      <c r="E115" s="25"/>
      <c r="F115" s="35"/>
      <c r="G115" s="35"/>
      <c r="H115" s="24" t="s">
        <v>146</v>
      </c>
    </row>
    <row r="116" spans="1:8" x14ac:dyDescent="0.2">
      <c r="A116" s="25"/>
      <c r="B116" s="25"/>
      <c r="C116" s="26" t="s">
        <v>162</v>
      </c>
      <c r="D116" s="25"/>
      <c r="E116" s="25"/>
      <c r="F116" s="35"/>
      <c r="G116" s="35"/>
      <c r="H116" s="24" t="s">
        <v>146</v>
      </c>
    </row>
    <row r="117" spans="1:8" x14ac:dyDescent="0.2">
      <c r="A117" s="25"/>
      <c r="B117" s="25"/>
      <c r="C117" s="26" t="s">
        <v>145</v>
      </c>
      <c r="D117" s="25"/>
      <c r="E117" s="25" t="s">
        <v>146</v>
      </c>
      <c r="F117" s="36" t="s">
        <v>148</v>
      </c>
      <c r="G117" s="33">
        <v>0</v>
      </c>
      <c r="H117" s="24" t="s">
        <v>146</v>
      </c>
    </row>
    <row r="118" spans="1:8" x14ac:dyDescent="0.2">
      <c r="A118" s="25"/>
      <c r="B118" s="25"/>
      <c r="C118" s="34"/>
      <c r="D118" s="25"/>
      <c r="E118" s="25"/>
      <c r="F118" s="35"/>
      <c r="G118" s="35"/>
      <c r="H118" s="24" t="s">
        <v>146</v>
      </c>
    </row>
    <row r="119" spans="1:8" x14ac:dyDescent="0.2">
      <c r="A119" s="25"/>
      <c r="B119" s="25"/>
      <c r="C119" s="26" t="s">
        <v>163</v>
      </c>
      <c r="D119" s="25"/>
      <c r="E119" s="25"/>
      <c r="F119" s="35"/>
      <c r="G119" s="35"/>
      <c r="H119" s="24" t="s">
        <v>146</v>
      </c>
    </row>
    <row r="120" spans="1:8" x14ac:dyDescent="0.2">
      <c r="A120" s="27">
        <v>1</v>
      </c>
      <c r="B120" s="28"/>
      <c r="C120" s="28" t="s">
        <v>164</v>
      </c>
      <c r="D120" s="28"/>
      <c r="E120" s="38"/>
      <c r="F120" s="30">
        <v>6647.8005919260004</v>
      </c>
      <c r="G120" s="31">
        <v>5.1170769999999997E-2</v>
      </c>
      <c r="H120" s="24">
        <v>6.57</v>
      </c>
    </row>
    <row r="121" spans="1:8" x14ac:dyDescent="0.2">
      <c r="A121" s="25"/>
      <c r="B121" s="25"/>
      <c r="C121" s="26" t="s">
        <v>145</v>
      </c>
      <c r="D121" s="25"/>
      <c r="E121" s="25" t="s">
        <v>146</v>
      </c>
      <c r="F121" s="32">
        <v>6647.8005919260004</v>
      </c>
      <c r="G121" s="33">
        <v>5.1170769999999997E-2</v>
      </c>
      <c r="H121" s="24" t="s">
        <v>146</v>
      </c>
    </row>
    <row r="122" spans="1:8" x14ac:dyDescent="0.2">
      <c r="A122" s="25"/>
      <c r="B122" s="25"/>
      <c r="C122" s="34"/>
      <c r="D122" s="25"/>
      <c r="E122" s="25"/>
      <c r="F122" s="35"/>
      <c r="G122" s="35"/>
      <c r="H122" s="24" t="s">
        <v>146</v>
      </c>
    </row>
    <row r="123" spans="1:8" x14ac:dyDescent="0.2">
      <c r="A123" s="25"/>
      <c r="B123" s="25"/>
      <c r="C123" s="26" t="s">
        <v>165</v>
      </c>
      <c r="D123" s="25"/>
      <c r="E123" s="25"/>
      <c r="F123" s="32">
        <v>6647.8005919260004</v>
      </c>
      <c r="G123" s="33">
        <v>5.1170769999999997E-2</v>
      </c>
      <c r="H123" s="24" t="s">
        <v>146</v>
      </c>
    </row>
    <row r="124" spans="1:8" x14ac:dyDescent="0.2">
      <c r="A124" s="25"/>
      <c r="B124" s="25"/>
      <c r="C124" s="35"/>
      <c r="D124" s="25"/>
      <c r="E124" s="25"/>
      <c r="F124" s="25"/>
      <c r="G124" s="25"/>
      <c r="H124" s="24" t="s">
        <v>146</v>
      </c>
    </row>
    <row r="125" spans="1:8" x14ac:dyDescent="0.2">
      <c r="A125" s="25"/>
      <c r="B125" s="25"/>
      <c r="C125" s="26" t="s">
        <v>166</v>
      </c>
      <c r="D125" s="25"/>
      <c r="E125" s="25"/>
      <c r="F125" s="25"/>
      <c r="G125" s="25"/>
      <c r="H125" s="24" t="s">
        <v>146</v>
      </c>
    </row>
    <row r="126" spans="1:8" x14ac:dyDescent="0.2">
      <c r="A126" s="25"/>
      <c r="B126" s="25"/>
      <c r="C126" s="26" t="s">
        <v>167</v>
      </c>
      <c r="D126" s="25"/>
      <c r="E126" s="25"/>
      <c r="F126" s="25"/>
      <c r="G126" s="25"/>
      <c r="H126" s="24" t="s">
        <v>146</v>
      </c>
    </row>
    <row r="127" spans="1:8" x14ac:dyDescent="0.2">
      <c r="A127" s="25"/>
      <c r="B127" s="25"/>
      <c r="C127" s="26" t="s">
        <v>145</v>
      </c>
      <c r="D127" s="25"/>
      <c r="E127" s="25" t="s">
        <v>146</v>
      </c>
      <c r="F127" s="36" t="s">
        <v>148</v>
      </c>
      <c r="G127" s="33">
        <v>0</v>
      </c>
      <c r="H127" s="24" t="s">
        <v>146</v>
      </c>
    </row>
    <row r="128" spans="1:8" x14ac:dyDescent="0.2">
      <c r="A128" s="25"/>
      <c r="B128" s="25"/>
      <c r="C128" s="34"/>
      <c r="D128" s="25"/>
      <c r="E128" s="25"/>
      <c r="F128" s="35"/>
      <c r="G128" s="35"/>
      <c r="H128" s="24" t="s">
        <v>146</v>
      </c>
    </row>
    <row r="129" spans="1:17" x14ac:dyDescent="0.2">
      <c r="A129" s="25"/>
      <c r="B129" s="25"/>
      <c r="C129" s="26" t="s">
        <v>168</v>
      </c>
      <c r="D129" s="25"/>
      <c r="E129" s="25"/>
      <c r="F129" s="25"/>
      <c r="G129" s="25"/>
      <c r="H129" s="24" t="s">
        <v>146</v>
      </c>
    </row>
    <row r="130" spans="1:17" x14ac:dyDescent="0.2">
      <c r="A130" s="25"/>
      <c r="B130" s="25"/>
      <c r="C130" s="26" t="s">
        <v>169</v>
      </c>
      <c r="D130" s="25"/>
      <c r="E130" s="25"/>
      <c r="F130" s="25"/>
      <c r="G130" s="25"/>
      <c r="H130" s="24" t="s">
        <v>146</v>
      </c>
    </row>
    <row r="131" spans="1:17" x14ac:dyDescent="0.2">
      <c r="A131" s="25"/>
      <c r="B131" s="25"/>
      <c r="C131" s="26" t="s">
        <v>145</v>
      </c>
      <c r="D131" s="25"/>
      <c r="E131" s="25" t="s">
        <v>146</v>
      </c>
      <c r="F131" s="36" t="s">
        <v>148</v>
      </c>
      <c r="G131" s="33">
        <v>0</v>
      </c>
      <c r="H131" s="24" t="s">
        <v>146</v>
      </c>
    </row>
    <row r="132" spans="1:17" x14ac:dyDescent="0.2">
      <c r="A132" s="25"/>
      <c r="B132" s="25"/>
      <c r="C132" s="34"/>
      <c r="D132" s="25"/>
      <c r="E132" s="25"/>
      <c r="F132" s="35"/>
      <c r="G132" s="35"/>
      <c r="H132" s="24" t="s">
        <v>146</v>
      </c>
    </row>
    <row r="133" spans="1:17" x14ac:dyDescent="0.2">
      <c r="A133" s="25"/>
      <c r="B133" s="25"/>
      <c r="C133" s="26" t="s">
        <v>170</v>
      </c>
      <c r="D133" s="25"/>
      <c r="E133" s="25"/>
      <c r="F133" s="35"/>
      <c r="G133" s="35"/>
      <c r="H133" s="24" t="s">
        <v>146</v>
      </c>
    </row>
    <row r="134" spans="1:17" x14ac:dyDescent="0.2">
      <c r="A134" s="25"/>
      <c r="B134" s="25"/>
      <c r="C134" s="26" t="s">
        <v>145</v>
      </c>
      <c r="D134" s="25"/>
      <c r="E134" s="25" t="s">
        <v>146</v>
      </c>
      <c r="F134" s="36" t="s">
        <v>148</v>
      </c>
      <c r="G134" s="33">
        <v>0</v>
      </c>
      <c r="H134" s="24" t="s">
        <v>146</v>
      </c>
    </row>
    <row r="135" spans="1:17" x14ac:dyDescent="0.2">
      <c r="A135" s="25"/>
      <c r="B135" s="25"/>
      <c r="C135" s="34"/>
      <c r="D135" s="25"/>
      <c r="E135" s="25"/>
      <c r="F135" s="35"/>
      <c r="G135" s="35"/>
      <c r="H135" s="24" t="s">
        <v>146</v>
      </c>
    </row>
    <row r="136" spans="1:17" x14ac:dyDescent="0.2">
      <c r="A136" s="38"/>
      <c r="B136" s="28"/>
      <c r="C136" s="28" t="s">
        <v>171</v>
      </c>
      <c r="D136" s="28"/>
      <c r="E136" s="38"/>
      <c r="F136" s="30">
        <v>-748.01448388999995</v>
      </c>
      <c r="G136" s="31">
        <v>-5.7577699999999997E-3</v>
      </c>
      <c r="H136" s="24" t="s">
        <v>146</v>
      </c>
    </row>
    <row r="137" spans="1:17" x14ac:dyDescent="0.2">
      <c r="A137" s="34"/>
      <c r="B137" s="34"/>
      <c r="C137" s="26" t="s">
        <v>172</v>
      </c>
      <c r="D137" s="35"/>
      <c r="E137" s="35"/>
      <c r="F137" s="32">
        <v>129914.03069263601</v>
      </c>
      <c r="G137" s="39">
        <v>0.99999998999999995</v>
      </c>
      <c r="H137" s="24" t="s">
        <v>146</v>
      </c>
    </row>
    <row r="138" spans="1:17" x14ac:dyDescent="0.2">
      <c r="A138" s="40"/>
      <c r="B138" s="40"/>
      <c r="C138" s="40"/>
      <c r="D138" s="41"/>
      <c r="E138" s="41"/>
      <c r="F138" s="41"/>
      <c r="G138" s="41"/>
    </row>
    <row r="139" spans="1:17" x14ac:dyDescent="0.2">
      <c r="A139" s="42"/>
      <c r="B139" s="236" t="s">
        <v>858</v>
      </c>
      <c r="C139" s="236"/>
      <c r="D139" s="236"/>
      <c r="E139" s="236"/>
      <c r="F139" s="236"/>
      <c r="G139" s="236"/>
      <c r="H139" s="236"/>
      <c r="J139" s="44"/>
    </row>
    <row r="140" spans="1:17" x14ac:dyDescent="0.2">
      <c r="A140" s="42"/>
      <c r="B140" s="236" t="s">
        <v>859</v>
      </c>
      <c r="C140" s="236"/>
      <c r="D140" s="236"/>
      <c r="E140" s="236"/>
      <c r="F140" s="236"/>
      <c r="G140" s="236"/>
      <c r="H140" s="236"/>
      <c r="J140" s="44"/>
    </row>
    <row r="141" spans="1:17" x14ac:dyDescent="0.2">
      <c r="A141" s="42"/>
      <c r="B141" s="236" t="s">
        <v>860</v>
      </c>
      <c r="C141" s="236"/>
      <c r="D141" s="236"/>
      <c r="E141" s="236"/>
      <c r="F141" s="236"/>
      <c r="G141" s="236"/>
      <c r="H141" s="236"/>
      <c r="J141" s="44"/>
    </row>
    <row r="142" spans="1:17" s="46" customFormat="1" ht="65.25" customHeight="1" x14ac:dyDescent="0.25">
      <c r="A142" s="45"/>
      <c r="B142" s="237" t="s">
        <v>861</v>
      </c>
      <c r="C142" s="237"/>
      <c r="D142" s="237"/>
      <c r="E142" s="237"/>
      <c r="F142" s="237"/>
      <c r="G142" s="237"/>
      <c r="H142" s="237"/>
      <c r="I142"/>
      <c r="J142" s="44"/>
      <c r="K142"/>
      <c r="L142"/>
      <c r="M142"/>
      <c r="N142"/>
      <c r="O142"/>
      <c r="P142"/>
      <c r="Q142"/>
    </row>
    <row r="143" spans="1:17" x14ac:dyDescent="0.2">
      <c r="A143" s="42"/>
      <c r="B143" s="236" t="s">
        <v>862</v>
      </c>
      <c r="C143" s="236"/>
      <c r="D143" s="236"/>
      <c r="E143" s="236"/>
      <c r="F143" s="236"/>
      <c r="G143" s="236"/>
      <c r="H143" s="236"/>
      <c r="J143" s="44"/>
    </row>
    <row r="144" spans="1:17" x14ac:dyDescent="0.2">
      <c r="A144" s="47"/>
      <c r="B144" s="47"/>
      <c r="C144" s="47"/>
      <c r="D144" s="48"/>
      <c r="E144" s="48"/>
      <c r="F144" s="48"/>
      <c r="G144" s="48"/>
    </row>
    <row r="145" spans="1:10" x14ac:dyDescent="0.2">
      <c r="A145" s="47"/>
      <c r="B145" s="233" t="s">
        <v>173</v>
      </c>
      <c r="C145" s="234"/>
      <c r="D145" s="235"/>
      <c r="E145" s="49"/>
      <c r="F145" s="48"/>
      <c r="G145" s="48"/>
    </row>
    <row r="146" spans="1:10" ht="25.5" customHeight="1" x14ac:dyDescent="0.2">
      <c r="A146" s="42"/>
      <c r="B146" s="227" t="s">
        <v>174</v>
      </c>
      <c r="C146" s="228"/>
      <c r="D146" s="50" t="s">
        <v>892</v>
      </c>
      <c r="E146" s="51"/>
      <c r="F146" s="52"/>
      <c r="G146" s="52"/>
    </row>
    <row r="147" spans="1:10" ht="17.100000000000001" customHeight="1" x14ac:dyDescent="0.2">
      <c r="A147" s="42"/>
      <c r="B147" s="227" t="s">
        <v>863</v>
      </c>
      <c r="C147" s="228"/>
      <c r="D147" s="129" t="str">
        <f>"Rs. "&amp;TEXT(F80,"0.00")&amp;" lacs / 0.05%"</f>
        <v>Rs. 65.56 lacs / 0.05%</v>
      </c>
      <c r="E147" s="51"/>
      <c r="F147" s="52"/>
      <c r="G147" s="52"/>
    </row>
    <row r="148" spans="1:10" x14ac:dyDescent="0.2">
      <c r="A148" s="47"/>
      <c r="B148" s="231" t="s">
        <v>176</v>
      </c>
      <c r="C148" s="232"/>
      <c r="D148" s="35" t="s">
        <v>146</v>
      </c>
      <c r="E148" s="49"/>
      <c r="F148" s="48"/>
      <c r="G148" s="48"/>
    </row>
    <row r="149" spans="1:10" x14ac:dyDescent="0.2">
      <c r="A149" s="53"/>
      <c r="B149" s="54" t="s">
        <v>146</v>
      </c>
      <c r="C149" s="54" t="s">
        <v>864</v>
      </c>
      <c r="D149" s="54" t="s">
        <v>177</v>
      </c>
      <c r="E149" s="53"/>
      <c r="F149" s="53"/>
      <c r="G149" s="53"/>
      <c r="H149" s="53"/>
      <c r="J149" s="44"/>
    </row>
    <row r="150" spans="1:10" x14ac:dyDescent="0.2">
      <c r="A150" s="53"/>
      <c r="B150" s="55" t="s">
        <v>178</v>
      </c>
      <c r="C150" s="56">
        <v>45657</v>
      </c>
      <c r="D150" s="56">
        <v>45688</v>
      </c>
      <c r="E150" s="53"/>
      <c r="F150" s="53"/>
      <c r="G150" s="53"/>
      <c r="J150" s="44"/>
    </row>
    <row r="151" spans="1:10" x14ac:dyDescent="0.2">
      <c r="A151" s="57"/>
      <c r="B151" s="28" t="s">
        <v>179</v>
      </c>
      <c r="C151" s="58">
        <v>522.85270000000003</v>
      </c>
      <c r="D151" s="58">
        <v>505.45769999999999</v>
      </c>
      <c r="E151" s="57"/>
      <c r="F151" s="59"/>
      <c r="G151" s="60"/>
    </row>
    <row r="152" spans="1:10" ht="25.5" x14ac:dyDescent="0.2">
      <c r="A152" s="57"/>
      <c r="B152" s="28" t="s">
        <v>1027</v>
      </c>
      <c r="C152" s="58">
        <v>522.32629999999995</v>
      </c>
      <c r="D152" s="58">
        <v>504.94880000000001</v>
      </c>
      <c r="E152" s="57"/>
      <c r="F152" s="59"/>
      <c r="G152" s="60"/>
    </row>
    <row r="153" spans="1:10" x14ac:dyDescent="0.2">
      <c r="A153" s="57"/>
      <c r="B153" s="28" t="s">
        <v>180</v>
      </c>
      <c r="C153" s="58">
        <v>490.47879999999998</v>
      </c>
      <c r="D153" s="58">
        <v>473.93959999999998</v>
      </c>
      <c r="E153" s="57"/>
      <c r="F153" s="59"/>
      <c r="G153" s="60"/>
    </row>
    <row r="154" spans="1:10" ht="25.5" x14ac:dyDescent="0.2">
      <c r="A154" s="57"/>
      <c r="B154" s="28" t="s">
        <v>1028</v>
      </c>
      <c r="C154" s="58">
        <v>409.6481</v>
      </c>
      <c r="D154" s="58">
        <v>395.84030000000001</v>
      </c>
      <c r="E154" s="57"/>
      <c r="F154" s="59"/>
      <c r="G154" s="60"/>
    </row>
    <row r="155" spans="1:10" x14ac:dyDescent="0.2">
      <c r="A155" s="57"/>
      <c r="B155" s="57"/>
      <c r="C155" s="57"/>
      <c r="D155" s="57"/>
      <c r="E155" s="57"/>
      <c r="F155" s="57"/>
      <c r="G155" s="57"/>
    </row>
    <row r="156" spans="1:10" x14ac:dyDescent="0.2">
      <c r="A156" s="53"/>
      <c r="B156" s="227" t="s">
        <v>865</v>
      </c>
      <c r="C156" s="228"/>
      <c r="D156" s="50" t="s">
        <v>175</v>
      </c>
      <c r="E156" s="53"/>
      <c r="F156" s="53"/>
      <c r="G156" s="53"/>
    </row>
    <row r="157" spans="1:10" x14ac:dyDescent="0.2">
      <c r="A157" s="53"/>
      <c r="B157" s="74"/>
      <c r="C157" s="74"/>
      <c r="D157" s="74"/>
      <c r="E157" s="53"/>
      <c r="F157" s="53"/>
      <c r="G157" s="53"/>
    </row>
    <row r="158" spans="1:10" ht="29.1" customHeight="1" x14ac:dyDescent="0.2">
      <c r="A158" s="53"/>
      <c r="B158" s="227" t="s">
        <v>181</v>
      </c>
      <c r="C158" s="228"/>
      <c r="D158" s="50" t="s">
        <v>175</v>
      </c>
      <c r="E158" s="64"/>
      <c r="F158" s="53"/>
      <c r="G158" s="53"/>
    </row>
    <row r="159" spans="1:10" ht="29.1" customHeight="1" x14ac:dyDescent="0.2">
      <c r="A159" s="53"/>
      <c r="B159" s="227" t="s">
        <v>182</v>
      </c>
      <c r="C159" s="228"/>
      <c r="D159" s="50" t="s">
        <v>175</v>
      </c>
      <c r="E159" s="64"/>
      <c r="F159" s="53"/>
      <c r="G159" s="53"/>
    </row>
    <row r="160" spans="1:10" ht="17.100000000000001" customHeight="1" x14ac:dyDescent="0.2">
      <c r="A160" s="53"/>
      <c r="B160" s="227" t="s">
        <v>183</v>
      </c>
      <c r="C160" s="228"/>
      <c r="D160" s="50" t="s">
        <v>175</v>
      </c>
      <c r="E160" s="64"/>
      <c r="F160" s="53"/>
      <c r="G160" s="53"/>
    </row>
    <row r="161" spans="1:10" ht="17.100000000000001" customHeight="1" x14ac:dyDescent="0.2">
      <c r="A161" s="53"/>
      <c r="B161" s="227" t="s">
        <v>184</v>
      </c>
      <c r="C161" s="228"/>
      <c r="D161" s="65">
        <v>0.29438278702511367</v>
      </c>
      <c r="E161" s="53"/>
      <c r="F161" s="43"/>
      <c r="G161" s="63"/>
    </row>
    <row r="163" spans="1:10" ht="13.5" x14ac:dyDescent="0.25">
      <c r="B163" s="124" t="s">
        <v>1096</v>
      </c>
      <c r="C163" s="130"/>
      <c r="D163" s="130"/>
      <c r="E163" s="8"/>
      <c r="F163" s="9"/>
    </row>
    <row r="164" spans="1:10" ht="67.5" x14ac:dyDescent="0.25">
      <c r="B164" s="131" t="s">
        <v>896</v>
      </c>
      <c r="C164" s="131" t="s">
        <v>897</v>
      </c>
      <c r="D164" s="131" t="s">
        <v>898</v>
      </c>
      <c r="E164" s="131" t="s">
        <v>899</v>
      </c>
      <c r="F164" s="131" t="s">
        <v>900</v>
      </c>
    </row>
    <row r="165" spans="1:10" ht="13.5" x14ac:dyDescent="0.2">
      <c r="B165" s="132" t="s">
        <v>1006</v>
      </c>
      <c r="C165" s="133" t="s">
        <v>976</v>
      </c>
      <c r="D165" s="10">
        <v>0</v>
      </c>
      <c r="E165" s="11">
        <v>0</v>
      </c>
      <c r="F165" s="134">
        <v>0.54925000000000002</v>
      </c>
    </row>
    <row r="167" spans="1:10" x14ac:dyDescent="0.2">
      <c r="B167" s="229" t="s">
        <v>866</v>
      </c>
      <c r="C167" s="229"/>
    </row>
    <row r="169" spans="1:10" ht="153.75" customHeight="1" x14ac:dyDescent="0.2"/>
    <row r="172" spans="1:10" x14ac:dyDescent="0.2">
      <c r="B172" s="66" t="s">
        <v>867</v>
      </c>
      <c r="C172" s="67"/>
      <c r="D172" s="66" t="s">
        <v>870</v>
      </c>
    </row>
    <row r="173" spans="1:10" x14ac:dyDescent="0.2">
      <c r="B173" s="66" t="s">
        <v>1007</v>
      </c>
      <c r="D173" s="66" t="s">
        <v>1007</v>
      </c>
    </row>
    <row r="174" spans="1:10" ht="165" customHeight="1" x14ac:dyDescent="0.2"/>
    <row r="176" spans="1:10" x14ac:dyDescent="0.2">
      <c r="J176" s="21"/>
    </row>
  </sheetData>
  <mergeCells count="18">
    <mergeCell ref="B167:C167"/>
    <mergeCell ref="B141:H141"/>
    <mergeCell ref="B142:H142"/>
    <mergeCell ref="B143:H143"/>
    <mergeCell ref="B158:C158"/>
    <mergeCell ref="B159:C159"/>
    <mergeCell ref="B156:C156"/>
    <mergeCell ref="B160:C160"/>
    <mergeCell ref="B161:C161"/>
    <mergeCell ref="A1:H1"/>
    <mergeCell ref="A2:H2"/>
    <mergeCell ref="A3:H3"/>
    <mergeCell ref="B147:C147"/>
    <mergeCell ref="B148:C148"/>
    <mergeCell ref="B145:D145"/>
    <mergeCell ref="B146:C146"/>
    <mergeCell ref="B139:H139"/>
    <mergeCell ref="B140:H140"/>
  </mergeCells>
  <hyperlinks>
    <hyperlink ref="I1" location="Index!B2" display="Index" xr:uid="{F5DDD30F-5295-4B81-B051-33D5E05213F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444C-9985-4BDF-A3B3-A95B2A304284}">
  <sheetPr>
    <outlinePr summaryBelow="0" summaryRight="0"/>
  </sheetPr>
  <dimension ref="A1:Q136"/>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813</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17</v>
      </c>
      <c r="C7" s="28" t="s">
        <v>18</v>
      </c>
      <c r="D7" s="28" t="s">
        <v>19</v>
      </c>
      <c r="E7" s="29">
        <v>939519</v>
      </c>
      <c r="F7" s="30">
        <v>15279.397497</v>
      </c>
      <c r="G7" s="31">
        <v>0.10062558000000001</v>
      </c>
      <c r="H7" s="24" t="s">
        <v>146</v>
      </c>
    </row>
    <row r="8" spans="1:9" x14ac:dyDescent="0.2">
      <c r="A8" s="27">
        <v>2</v>
      </c>
      <c r="B8" s="28" t="s">
        <v>347</v>
      </c>
      <c r="C8" s="28" t="s">
        <v>348</v>
      </c>
      <c r="D8" s="28" t="s">
        <v>349</v>
      </c>
      <c r="E8" s="29">
        <v>2991251</v>
      </c>
      <c r="F8" s="30">
        <v>13385.848225</v>
      </c>
      <c r="G8" s="31">
        <v>8.8155230000000001E-2</v>
      </c>
      <c r="H8" s="24" t="s">
        <v>146</v>
      </c>
    </row>
    <row r="9" spans="1:9" x14ac:dyDescent="0.2">
      <c r="A9" s="27">
        <v>3</v>
      </c>
      <c r="B9" s="28" t="s">
        <v>363</v>
      </c>
      <c r="C9" s="28" t="s">
        <v>364</v>
      </c>
      <c r="D9" s="28" t="s">
        <v>39</v>
      </c>
      <c r="E9" s="29">
        <v>303263</v>
      </c>
      <c r="F9" s="30">
        <v>10584.6368575</v>
      </c>
      <c r="G9" s="31">
        <v>6.9707279999999996E-2</v>
      </c>
      <c r="H9" s="24" t="s">
        <v>146</v>
      </c>
    </row>
    <row r="10" spans="1:9" x14ac:dyDescent="0.2">
      <c r="A10" s="27">
        <v>4</v>
      </c>
      <c r="B10" s="28" t="s">
        <v>532</v>
      </c>
      <c r="C10" s="28" t="s">
        <v>533</v>
      </c>
      <c r="D10" s="28" t="s">
        <v>275</v>
      </c>
      <c r="E10" s="29">
        <v>350492</v>
      </c>
      <c r="F10" s="30">
        <v>10479.185062</v>
      </c>
      <c r="G10" s="31">
        <v>6.9012809999999994E-2</v>
      </c>
      <c r="H10" s="24" t="s">
        <v>146</v>
      </c>
    </row>
    <row r="11" spans="1:9" x14ac:dyDescent="0.2">
      <c r="A11" s="27">
        <v>5</v>
      </c>
      <c r="B11" s="28" t="s">
        <v>441</v>
      </c>
      <c r="C11" s="28" t="s">
        <v>442</v>
      </c>
      <c r="D11" s="28" t="s">
        <v>349</v>
      </c>
      <c r="E11" s="29">
        <v>350212</v>
      </c>
      <c r="F11" s="30">
        <v>8646.033856</v>
      </c>
      <c r="G11" s="31">
        <v>5.694022E-2</v>
      </c>
      <c r="H11" s="24" t="s">
        <v>146</v>
      </c>
    </row>
    <row r="12" spans="1:9" x14ac:dyDescent="0.2">
      <c r="A12" s="27">
        <v>6</v>
      </c>
      <c r="B12" s="28" t="s">
        <v>526</v>
      </c>
      <c r="C12" s="28" t="s">
        <v>527</v>
      </c>
      <c r="D12" s="28" t="s">
        <v>275</v>
      </c>
      <c r="E12" s="29">
        <v>67306</v>
      </c>
      <c r="F12" s="30">
        <v>8285.8060889999997</v>
      </c>
      <c r="G12" s="31">
        <v>5.4567860000000003E-2</v>
      </c>
      <c r="H12" s="24" t="s">
        <v>146</v>
      </c>
    </row>
    <row r="13" spans="1:9" x14ac:dyDescent="0.2">
      <c r="A13" s="27">
        <v>7</v>
      </c>
      <c r="B13" s="28" t="s">
        <v>331</v>
      </c>
      <c r="C13" s="28" t="s">
        <v>332</v>
      </c>
      <c r="D13" s="28" t="s">
        <v>205</v>
      </c>
      <c r="E13" s="29">
        <v>3000962</v>
      </c>
      <c r="F13" s="30">
        <v>6612.6197670000001</v>
      </c>
      <c r="G13" s="31">
        <v>4.3548749999999997E-2</v>
      </c>
      <c r="H13" s="24" t="s">
        <v>146</v>
      </c>
    </row>
    <row r="14" spans="1:9" x14ac:dyDescent="0.2">
      <c r="A14" s="27">
        <v>8</v>
      </c>
      <c r="B14" s="28" t="s">
        <v>524</v>
      </c>
      <c r="C14" s="28" t="s">
        <v>525</v>
      </c>
      <c r="D14" s="28" t="s">
        <v>226</v>
      </c>
      <c r="E14" s="29">
        <v>453496</v>
      </c>
      <c r="F14" s="30">
        <v>6457.7830400000003</v>
      </c>
      <c r="G14" s="31">
        <v>4.2529039999999997E-2</v>
      </c>
      <c r="H14" s="24" t="s">
        <v>146</v>
      </c>
    </row>
    <row r="15" spans="1:9" x14ac:dyDescent="0.2">
      <c r="A15" s="27">
        <v>9</v>
      </c>
      <c r="B15" s="28" t="s">
        <v>379</v>
      </c>
      <c r="C15" s="28" t="s">
        <v>380</v>
      </c>
      <c r="D15" s="28" t="s">
        <v>39</v>
      </c>
      <c r="E15" s="29">
        <v>245560</v>
      </c>
      <c r="F15" s="30">
        <v>5917.9960000000001</v>
      </c>
      <c r="G15" s="31">
        <v>3.8974170000000002E-2</v>
      </c>
      <c r="H15" s="24" t="s">
        <v>146</v>
      </c>
    </row>
    <row r="16" spans="1:9" x14ac:dyDescent="0.2">
      <c r="A16" s="27">
        <v>10</v>
      </c>
      <c r="B16" s="28" t="s">
        <v>203</v>
      </c>
      <c r="C16" s="28" t="s">
        <v>204</v>
      </c>
      <c r="D16" s="28" t="s">
        <v>205</v>
      </c>
      <c r="E16" s="29">
        <v>86291</v>
      </c>
      <c r="F16" s="30">
        <v>4964.4938119999997</v>
      </c>
      <c r="G16" s="31">
        <v>3.2694679999999997E-2</v>
      </c>
      <c r="H16" s="24" t="s">
        <v>146</v>
      </c>
    </row>
    <row r="17" spans="1:8" x14ac:dyDescent="0.2">
      <c r="A17" s="27">
        <v>11</v>
      </c>
      <c r="B17" s="28" t="s">
        <v>792</v>
      </c>
      <c r="C17" s="28" t="s">
        <v>793</v>
      </c>
      <c r="D17" s="28" t="s">
        <v>208</v>
      </c>
      <c r="E17" s="29">
        <v>62653</v>
      </c>
      <c r="F17" s="30">
        <v>4266.9825650000002</v>
      </c>
      <c r="G17" s="31">
        <v>2.8101080000000001E-2</v>
      </c>
      <c r="H17" s="24" t="s">
        <v>146</v>
      </c>
    </row>
    <row r="18" spans="1:8" x14ac:dyDescent="0.2">
      <c r="A18" s="27">
        <v>12</v>
      </c>
      <c r="B18" s="28" t="s">
        <v>191</v>
      </c>
      <c r="C18" s="28" t="s">
        <v>192</v>
      </c>
      <c r="D18" s="28" t="s">
        <v>39</v>
      </c>
      <c r="E18" s="29">
        <v>837090</v>
      </c>
      <c r="F18" s="30">
        <v>4211.3997900000004</v>
      </c>
      <c r="G18" s="31">
        <v>2.7735030000000001E-2</v>
      </c>
      <c r="H18" s="24" t="s">
        <v>146</v>
      </c>
    </row>
    <row r="19" spans="1:8" x14ac:dyDescent="0.2">
      <c r="A19" s="27">
        <v>13</v>
      </c>
      <c r="B19" s="28" t="s">
        <v>765</v>
      </c>
      <c r="C19" s="28" t="s">
        <v>766</v>
      </c>
      <c r="D19" s="28" t="s">
        <v>120</v>
      </c>
      <c r="E19" s="29">
        <v>34697</v>
      </c>
      <c r="F19" s="30">
        <v>4010.8691090000002</v>
      </c>
      <c r="G19" s="31">
        <v>2.6414400000000001E-2</v>
      </c>
      <c r="H19" s="24" t="s">
        <v>146</v>
      </c>
    </row>
    <row r="20" spans="1:8" x14ac:dyDescent="0.2">
      <c r="A20" s="27">
        <v>14</v>
      </c>
      <c r="B20" s="28" t="s">
        <v>750</v>
      </c>
      <c r="C20" s="28" t="s">
        <v>751</v>
      </c>
      <c r="D20" s="28" t="s">
        <v>752</v>
      </c>
      <c r="E20" s="29">
        <v>169170</v>
      </c>
      <c r="F20" s="30">
        <v>3913.24044</v>
      </c>
      <c r="G20" s="31">
        <v>2.577144E-2</v>
      </c>
      <c r="H20" s="24" t="s">
        <v>146</v>
      </c>
    </row>
    <row r="21" spans="1:8" x14ac:dyDescent="0.2">
      <c r="A21" s="27">
        <v>15</v>
      </c>
      <c r="B21" s="28" t="s">
        <v>753</v>
      </c>
      <c r="C21" s="28" t="s">
        <v>754</v>
      </c>
      <c r="D21" s="28" t="s">
        <v>752</v>
      </c>
      <c r="E21" s="29">
        <v>66325</v>
      </c>
      <c r="F21" s="30">
        <v>3402.2403625000002</v>
      </c>
      <c r="G21" s="31">
        <v>2.240615E-2</v>
      </c>
      <c r="H21" s="24" t="s">
        <v>146</v>
      </c>
    </row>
    <row r="22" spans="1:8" x14ac:dyDescent="0.2">
      <c r="A22" s="27">
        <v>16</v>
      </c>
      <c r="B22" s="28" t="s">
        <v>234</v>
      </c>
      <c r="C22" s="28" t="s">
        <v>235</v>
      </c>
      <c r="D22" s="28" t="s">
        <v>205</v>
      </c>
      <c r="E22" s="29">
        <v>43401</v>
      </c>
      <c r="F22" s="30">
        <v>3352.1630369999998</v>
      </c>
      <c r="G22" s="31">
        <v>2.2076350000000002E-2</v>
      </c>
      <c r="H22" s="24" t="s">
        <v>146</v>
      </c>
    </row>
    <row r="23" spans="1:8" x14ac:dyDescent="0.2">
      <c r="A23" s="27">
        <v>17</v>
      </c>
      <c r="B23" s="28" t="s">
        <v>735</v>
      </c>
      <c r="C23" s="28" t="s">
        <v>736</v>
      </c>
      <c r="D23" s="28" t="s">
        <v>737</v>
      </c>
      <c r="E23" s="29">
        <v>790141</v>
      </c>
      <c r="F23" s="30">
        <v>3147.9217440000002</v>
      </c>
      <c r="G23" s="31">
        <v>2.0731280000000001E-2</v>
      </c>
      <c r="H23" s="24" t="s">
        <v>146</v>
      </c>
    </row>
    <row r="24" spans="1:8" x14ac:dyDescent="0.2">
      <c r="A24" s="27">
        <v>18</v>
      </c>
      <c r="B24" s="28" t="s">
        <v>761</v>
      </c>
      <c r="C24" s="28" t="s">
        <v>762</v>
      </c>
      <c r="D24" s="28" t="s">
        <v>205</v>
      </c>
      <c r="E24" s="29">
        <v>80568</v>
      </c>
      <c r="F24" s="30">
        <v>2952.5352119999998</v>
      </c>
      <c r="G24" s="31">
        <v>1.944452E-2</v>
      </c>
      <c r="H24" s="24" t="s">
        <v>146</v>
      </c>
    </row>
    <row r="25" spans="1:8" x14ac:dyDescent="0.2">
      <c r="A25" s="27">
        <v>19</v>
      </c>
      <c r="B25" s="28" t="s">
        <v>81</v>
      </c>
      <c r="C25" s="28" t="s">
        <v>82</v>
      </c>
      <c r="D25" s="28" t="s">
        <v>83</v>
      </c>
      <c r="E25" s="29">
        <v>276884</v>
      </c>
      <c r="F25" s="30">
        <v>2735.198594</v>
      </c>
      <c r="G25" s="31">
        <v>1.8013210000000002E-2</v>
      </c>
      <c r="H25" s="24" t="s">
        <v>146</v>
      </c>
    </row>
    <row r="26" spans="1:8" x14ac:dyDescent="0.2">
      <c r="A26" s="27">
        <v>20</v>
      </c>
      <c r="B26" s="28" t="s">
        <v>732</v>
      </c>
      <c r="C26" s="28" t="s">
        <v>733</v>
      </c>
      <c r="D26" s="28" t="s">
        <v>275</v>
      </c>
      <c r="E26" s="29">
        <v>49116</v>
      </c>
      <c r="F26" s="30">
        <v>2551.2323879999999</v>
      </c>
      <c r="G26" s="31">
        <v>1.680166E-2</v>
      </c>
      <c r="H26" s="24" t="s">
        <v>146</v>
      </c>
    </row>
    <row r="27" spans="1:8" x14ac:dyDescent="0.2">
      <c r="A27" s="27">
        <v>21</v>
      </c>
      <c r="B27" s="28" t="s">
        <v>45</v>
      </c>
      <c r="C27" s="28" t="s">
        <v>46</v>
      </c>
      <c r="D27" s="28" t="s">
        <v>47</v>
      </c>
      <c r="E27" s="29">
        <v>212286</v>
      </c>
      <c r="F27" s="30">
        <v>2485.975203</v>
      </c>
      <c r="G27" s="31">
        <v>1.6371900000000002E-2</v>
      </c>
      <c r="H27" s="24" t="s">
        <v>146</v>
      </c>
    </row>
    <row r="28" spans="1:8" x14ac:dyDescent="0.2">
      <c r="A28" s="27">
        <v>22</v>
      </c>
      <c r="B28" s="28" t="s">
        <v>221</v>
      </c>
      <c r="C28" s="28" t="s">
        <v>222</v>
      </c>
      <c r="D28" s="28" t="s">
        <v>223</v>
      </c>
      <c r="E28" s="29">
        <v>332895</v>
      </c>
      <c r="F28" s="30">
        <v>2343.2479050000002</v>
      </c>
      <c r="G28" s="31">
        <v>1.543194E-2</v>
      </c>
      <c r="H28" s="24" t="s">
        <v>146</v>
      </c>
    </row>
    <row r="29" spans="1:8" x14ac:dyDescent="0.2">
      <c r="A29" s="27">
        <v>23</v>
      </c>
      <c r="B29" s="28" t="s">
        <v>814</v>
      </c>
      <c r="C29" s="28" t="s">
        <v>815</v>
      </c>
      <c r="D29" s="28" t="s">
        <v>205</v>
      </c>
      <c r="E29" s="29">
        <v>1568850</v>
      </c>
      <c r="F29" s="30">
        <v>2304.3268800000001</v>
      </c>
      <c r="G29" s="31">
        <v>1.5175610000000001E-2</v>
      </c>
      <c r="H29" s="24" t="s">
        <v>146</v>
      </c>
    </row>
    <row r="30" spans="1:8" x14ac:dyDescent="0.2">
      <c r="A30" s="27">
        <v>24</v>
      </c>
      <c r="B30" s="28" t="s">
        <v>528</v>
      </c>
      <c r="C30" s="28" t="s">
        <v>529</v>
      </c>
      <c r="D30" s="28" t="s">
        <v>275</v>
      </c>
      <c r="E30" s="29">
        <v>25666</v>
      </c>
      <c r="F30" s="30">
        <v>2270.8763479999998</v>
      </c>
      <c r="G30" s="31">
        <v>1.4955319999999999E-2</v>
      </c>
      <c r="H30" s="24" t="s">
        <v>146</v>
      </c>
    </row>
    <row r="31" spans="1:8" x14ac:dyDescent="0.2">
      <c r="A31" s="27">
        <v>25</v>
      </c>
      <c r="B31" s="28" t="s">
        <v>707</v>
      </c>
      <c r="C31" s="28" t="s">
        <v>708</v>
      </c>
      <c r="D31" s="28" t="s">
        <v>39</v>
      </c>
      <c r="E31" s="29">
        <v>96237</v>
      </c>
      <c r="F31" s="30">
        <v>2214.2208959999998</v>
      </c>
      <c r="G31" s="31">
        <v>1.45822E-2</v>
      </c>
      <c r="H31" s="24" t="s">
        <v>146</v>
      </c>
    </row>
    <row r="32" spans="1:8" x14ac:dyDescent="0.2">
      <c r="A32" s="27">
        <v>26</v>
      </c>
      <c r="B32" s="28" t="s">
        <v>224</v>
      </c>
      <c r="C32" s="28" t="s">
        <v>225</v>
      </c>
      <c r="D32" s="28" t="s">
        <v>226</v>
      </c>
      <c r="E32" s="29">
        <v>94931</v>
      </c>
      <c r="F32" s="30">
        <v>2037.2192600000001</v>
      </c>
      <c r="G32" s="31">
        <v>1.3416519999999999E-2</v>
      </c>
      <c r="H32" s="24" t="s">
        <v>146</v>
      </c>
    </row>
    <row r="33" spans="1:8" ht="25.5" x14ac:dyDescent="0.2">
      <c r="A33" s="27">
        <v>27</v>
      </c>
      <c r="B33" s="28" t="s">
        <v>443</v>
      </c>
      <c r="C33" s="28" t="s">
        <v>444</v>
      </c>
      <c r="D33" s="28" t="s">
        <v>218</v>
      </c>
      <c r="E33" s="29">
        <v>190942</v>
      </c>
      <c r="F33" s="30">
        <v>1956.4872029999999</v>
      </c>
      <c r="G33" s="31">
        <v>1.288485E-2</v>
      </c>
      <c r="H33" s="24" t="s">
        <v>146</v>
      </c>
    </row>
    <row r="34" spans="1:8" x14ac:dyDescent="0.2">
      <c r="A34" s="27">
        <v>28</v>
      </c>
      <c r="B34" s="28" t="s">
        <v>343</v>
      </c>
      <c r="C34" s="28" t="s">
        <v>344</v>
      </c>
      <c r="D34" s="28" t="s">
        <v>226</v>
      </c>
      <c r="E34" s="29">
        <v>294842</v>
      </c>
      <c r="F34" s="30">
        <v>1582.564435</v>
      </c>
      <c r="G34" s="31">
        <v>1.0422300000000001E-2</v>
      </c>
      <c r="H34" s="24" t="s">
        <v>146</v>
      </c>
    </row>
    <row r="35" spans="1:8" x14ac:dyDescent="0.2">
      <c r="A35" s="27">
        <v>29</v>
      </c>
      <c r="B35" s="28" t="s">
        <v>289</v>
      </c>
      <c r="C35" s="28" t="s">
        <v>290</v>
      </c>
      <c r="D35" s="28" t="s">
        <v>223</v>
      </c>
      <c r="E35" s="29">
        <v>899703</v>
      </c>
      <c r="F35" s="30">
        <v>1517.3491094999999</v>
      </c>
      <c r="G35" s="31">
        <v>9.9928099999999995E-3</v>
      </c>
      <c r="H35" s="24" t="s">
        <v>146</v>
      </c>
    </row>
    <row r="36" spans="1:8" x14ac:dyDescent="0.2">
      <c r="A36" s="27">
        <v>30</v>
      </c>
      <c r="B36" s="28" t="s">
        <v>816</v>
      </c>
      <c r="C36" s="28" t="s">
        <v>817</v>
      </c>
      <c r="D36" s="28" t="s">
        <v>752</v>
      </c>
      <c r="E36" s="29">
        <v>151951</v>
      </c>
      <c r="F36" s="30">
        <v>1431.5303710000001</v>
      </c>
      <c r="G36" s="31">
        <v>9.4276399999999993E-3</v>
      </c>
      <c r="H36" s="24" t="s">
        <v>146</v>
      </c>
    </row>
    <row r="37" spans="1:8" x14ac:dyDescent="0.2">
      <c r="A37" s="27">
        <v>31</v>
      </c>
      <c r="B37" s="28" t="s">
        <v>248</v>
      </c>
      <c r="C37" s="28" t="s">
        <v>249</v>
      </c>
      <c r="D37" s="28" t="s">
        <v>223</v>
      </c>
      <c r="E37" s="29">
        <v>93809</v>
      </c>
      <c r="F37" s="30">
        <v>723.2204855</v>
      </c>
      <c r="G37" s="31">
        <v>4.7629200000000003E-3</v>
      </c>
      <c r="H37" s="24" t="s">
        <v>146</v>
      </c>
    </row>
    <row r="38" spans="1:8" x14ac:dyDescent="0.2">
      <c r="A38" s="27">
        <v>32</v>
      </c>
      <c r="B38" s="28" t="s">
        <v>273</v>
      </c>
      <c r="C38" s="28" t="s">
        <v>274</v>
      </c>
      <c r="D38" s="28" t="s">
        <v>275</v>
      </c>
      <c r="E38" s="29">
        <v>16314</v>
      </c>
      <c r="F38" s="30">
        <v>400.98180600000001</v>
      </c>
      <c r="G38" s="31">
        <v>2.6407499999999999E-3</v>
      </c>
      <c r="H38" s="24" t="s">
        <v>146</v>
      </c>
    </row>
    <row r="39" spans="1:8" x14ac:dyDescent="0.2">
      <c r="A39" s="25"/>
      <c r="B39" s="25"/>
      <c r="C39" s="26" t="s">
        <v>145</v>
      </c>
      <c r="D39" s="25"/>
      <c r="E39" s="25" t="s">
        <v>146</v>
      </c>
      <c r="F39" s="32">
        <v>146425.58334899999</v>
      </c>
      <c r="G39" s="33">
        <v>0.96431549999999999</v>
      </c>
      <c r="H39" s="24" t="s">
        <v>146</v>
      </c>
    </row>
    <row r="40" spans="1:8" x14ac:dyDescent="0.2">
      <c r="A40" s="25"/>
      <c r="B40" s="25"/>
      <c r="C40" s="34"/>
      <c r="D40" s="25"/>
      <c r="E40" s="25"/>
      <c r="F40" s="35"/>
      <c r="G40" s="35"/>
      <c r="H40" s="24" t="s">
        <v>146</v>
      </c>
    </row>
    <row r="41" spans="1:8" x14ac:dyDescent="0.2">
      <c r="A41" s="25"/>
      <c r="B41" s="25"/>
      <c r="C41" s="26" t="s">
        <v>147</v>
      </c>
      <c r="D41" s="25"/>
      <c r="E41" s="25"/>
      <c r="F41" s="25"/>
      <c r="G41" s="25"/>
      <c r="H41" s="24" t="s">
        <v>146</v>
      </c>
    </row>
    <row r="42" spans="1:8" x14ac:dyDescent="0.2">
      <c r="A42" s="25"/>
      <c r="B42" s="25"/>
      <c r="C42" s="26" t="s">
        <v>145</v>
      </c>
      <c r="D42" s="25"/>
      <c r="E42" s="25" t="s">
        <v>146</v>
      </c>
      <c r="F42" s="36" t="s">
        <v>148</v>
      </c>
      <c r="G42" s="33">
        <v>0</v>
      </c>
      <c r="H42" s="24" t="s">
        <v>146</v>
      </c>
    </row>
    <row r="43" spans="1:8" x14ac:dyDescent="0.2">
      <c r="A43" s="25"/>
      <c r="B43" s="25"/>
      <c r="C43" s="34"/>
      <c r="D43" s="25"/>
      <c r="E43" s="25"/>
      <c r="F43" s="35"/>
      <c r="G43" s="35"/>
      <c r="H43" s="24" t="s">
        <v>146</v>
      </c>
    </row>
    <row r="44" spans="1:8" x14ac:dyDescent="0.2">
      <c r="A44" s="25"/>
      <c r="B44" s="25"/>
      <c r="C44" s="26" t="s">
        <v>149</v>
      </c>
      <c r="D44" s="25"/>
      <c r="E44" s="25"/>
      <c r="F44" s="25"/>
      <c r="G44" s="25"/>
      <c r="H44" s="24" t="s">
        <v>146</v>
      </c>
    </row>
    <row r="45" spans="1:8" x14ac:dyDescent="0.2">
      <c r="A45" s="25"/>
      <c r="B45" s="25"/>
      <c r="C45" s="26" t="s">
        <v>145</v>
      </c>
      <c r="D45" s="25"/>
      <c r="E45" s="25" t="s">
        <v>146</v>
      </c>
      <c r="F45" s="36" t="s">
        <v>148</v>
      </c>
      <c r="G45" s="33">
        <v>0</v>
      </c>
      <c r="H45" s="24" t="s">
        <v>146</v>
      </c>
    </row>
    <row r="46" spans="1:8" x14ac:dyDescent="0.2">
      <c r="A46" s="25"/>
      <c r="B46" s="25"/>
      <c r="C46" s="34"/>
      <c r="D46" s="25"/>
      <c r="E46" s="25"/>
      <c r="F46" s="35"/>
      <c r="G46" s="35"/>
      <c r="H46" s="24" t="s">
        <v>146</v>
      </c>
    </row>
    <row r="47" spans="1:8" x14ac:dyDescent="0.2">
      <c r="A47" s="25"/>
      <c r="B47" s="25"/>
      <c r="C47" s="26" t="s">
        <v>150</v>
      </c>
      <c r="D47" s="25"/>
      <c r="E47" s="25"/>
      <c r="F47" s="25"/>
      <c r="G47" s="25"/>
      <c r="H47" s="24" t="s">
        <v>146</v>
      </c>
    </row>
    <row r="48" spans="1:8" x14ac:dyDescent="0.2">
      <c r="A48" s="25"/>
      <c r="B48" s="25"/>
      <c r="C48" s="26" t="s">
        <v>145</v>
      </c>
      <c r="D48" s="25"/>
      <c r="E48" s="25" t="s">
        <v>146</v>
      </c>
      <c r="F48" s="36" t="s">
        <v>148</v>
      </c>
      <c r="G48" s="33">
        <v>0</v>
      </c>
      <c r="H48" s="24" t="s">
        <v>146</v>
      </c>
    </row>
    <row r="49" spans="1:8" x14ac:dyDescent="0.2">
      <c r="A49" s="25"/>
      <c r="B49" s="25"/>
      <c r="C49" s="34"/>
      <c r="D49" s="25"/>
      <c r="E49" s="25"/>
      <c r="F49" s="35"/>
      <c r="G49" s="35"/>
      <c r="H49" s="24" t="s">
        <v>146</v>
      </c>
    </row>
    <row r="50" spans="1:8" x14ac:dyDescent="0.2">
      <c r="A50" s="25"/>
      <c r="B50" s="25"/>
      <c r="C50" s="26" t="s">
        <v>151</v>
      </c>
      <c r="D50" s="25"/>
      <c r="E50" s="25"/>
      <c r="F50" s="35"/>
      <c r="G50" s="35"/>
      <c r="H50" s="24" t="s">
        <v>146</v>
      </c>
    </row>
    <row r="51" spans="1:8" x14ac:dyDescent="0.2">
      <c r="A51" s="25"/>
      <c r="B51" s="25"/>
      <c r="C51" s="26" t="s">
        <v>145</v>
      </c>
      <c r="D51" s="25"/>
      <c r="E51" s="25" t="s">
        <v>146</v>
      </c>
      <c r="F51" s="36" t="s">
        <v>148</v>
      </c>
      <c r="G51" s="33">
        <v>0</v>
      </c>
      <c r="H51" s="24" t="s">
        <v>146</v>
      </c>
    </row>
    <row r="52" spans="1:8" x14ac:dyDescent="0.2">
      <c r="A52" s="25"/>
      <c r="B52" s="25"/>
      <c r="C52" s="34"/>
      <c r="D52" s="25"/>
      <c r="E52" s="25"/>
      <c r="F52" s="35"/>
      <c r="G52" s="35"/>
      <c r="H52" s="24" t="s">
        <v>146</v>
      </c>
    </row>
    <row r="53" spans="1:8" x14ac:dyDescent="0.2">
      <c r="A53" s="25"/>
      <c r="B53" s="25"/>
      <c r="C53" s="26" t="s">
        <v>152</v>
      </c>
      <c r="D53" s="25"/>
      <c r="E53" s="25"/>
      <c r="F53" s="35"/>
      <c r="G53" s="35"/>
      <c r="H53" s="24" t="s">
        <v>146</v>
      </c>
    </row>
    <row r="54" spans="1:8" x14ac:dyDescent="0.2">
      <c r="A54" s="25"/>
      <c r="B54" s="25"/>
      <c r="C54" s="26" t="s">
        <v>145</v>
      </c>
      <c r="D54" s="25"/>
      <c r="E54" s="25" t="s">
        <v>146</v>
      </c>
      <c r="F54" s="36" t="s">
        <v>148</v>
      </c>
      <c r="G54" s="33">
        <v>0</v>
      </c>
      <c r="H54" s="24" t="s">
        <v>146</v>
      </c>
    </row>
    <row r="55" spans="1:8" x14ac:dyDescent="0.2">
      <c r="A55" s="25"/>
      <c r="B55" s="25"/>
      <c r="C55" s="34"/>
      <c r="D55" s="25"/>
      <c r="E55" s="25"/>
      <c r="F55" s="35"/>
      <c r="G55" s="35"/>
      <c r="H55" s="24" t="s">
        <v>146</v>
      </c>
    </row>
    <row r="56" spans="1:8" x14ac:dyDescent="0.2">
      <c r="A56" s="25"/>
      <c r="B56" s="25"/>
      <c r="C56" s="26" t="s">
        <v>153</v>
      </c>
      <c r="D56" s="25"/>
      <c r="E56" s="25"/>
      <c r="F56" s="32">
        <v>146425.58334899999</v>
      </c>
      <c r="G56" s="33">
        <v>0.96431549999999999</v>
      </c>
      <c r="H56" s="24" t="s">
        <v>146</v>
      </c>
    </row>
    <row r="57" spans="1:8" x14ac:dyDescent="0.2">
      <c r="A57" s="25"/>
      <c r="B57" s="25"/>
      <c r="C57" s="34"/>
      <c r="D57" s="25"/>
      <c r="E57" s="25"/>
      <c r="F57" s="35"/>
      <c r="G57" s="35"/>
      <c r="H57" s="24" t="s">
        <v>146</v>
      </c>
    </row>
    <row r="58" spans="1:8" x14ac:dyDescent="0.2">
      <c r="A58" s="25"/>
      <c r="B58" s="25"/>
      <c r="C58" s="26" t="s">
        <v>154</v>
      </c>
      <c r="D58" s="25"/>
      <c r="E58" s="25"/>
      <c r="F58" s="35"/>
      <c r="G58" s="35"/>
      <c r="H58" s="24" t="s">
        <v>146</v>
      </c>
    </row>
    <row r="59" spans="1:8" x14ac:dyDescent="0.2">
      <c r="A59" s="25"/>
      <c r="B59" s="25"/>
      <c r="C59" s="26" t="s">
        <v>10</v>
      </c>
      <c r="D59" s="25"/>
      <c r="E59" s="25"/>
      <c r="F59" s="35"/>
      <c r="G59" s="35"/>
      <c r="H59" s="24" t="s">
        <v>146</v>
      </c>
    </row>
    <row r="60" spans="1:8" x14ac:dyDescent="0.2">
      <c r="A60" s="25"/>
      <c r="B60" s="25"/>
      <c r="C60" s="26" t="s">
        <v>145</v>
      </c>
      <c r="D60" s="25"/>
      <c r="E60" s="25" t="s">
        <v>146</v>
      </c>
      <c r="F60" s="36" t="s">
        <v>148</v>
      </c>
      <c r="G60" s="33">
        <v>0</v>
      </c>
      <c r="H60" s="24" t="s">
        <v>146</v>
      </c>
    </row>
    <row r="61" spans="1:8" x14ac:dyDescent="0.2">
      <c r="A61" s="25"/>
      <c r="B61" s="25"/>
      <c r="C61" s="34"/>
      <c r="D61" s="25"/>
      <c r="E61" s="25"/>
      <c r="F61" s="35"/>
      <c r="G61" s="35"/>
      <c r="H61" s="24" t="s">
        <v>146</v>
      </c>
    </row>
    <row r="62" spans="1:8" x14ac:dyDescent="0.2">
      <c r="A62" s="25"/>
      <c r="B62" s="25"/>
      <c r="C62" s="26" t="s">
        <v>155</v>
      </c>
      <c r="D62" s="25"/>
      <c r="E62" s="25"/>
      <c r="F62" s="25"/>
      <c r="G62" s="25"/>
      <c r="H62" s="24" t="s">
        <v>146</v>
      </c>
    </row>
    <row r="63" spans="1:8" x14ac:dyDescent="0.2">
      <c r="A63" s="25"/>
      <c r="B63" s="25"/>
      <c r="C63" s="26" t="s">
        <v>145</v>
      </c>
      <c r="D63" s="25"/>
      <c r="E63" s="25" t="s">
        <v>146</v>
      </c>
      <c r="F63" s="36" t="s">
        <v>148</v>
      </c>
      <c r="G63" s="33">
        <v>0</v>
      </c>
      <c r="H63" s="24" t="s">
        <v>146</v>
      </c>
    </row>
    <row r="64" spans="1:8" x14ac:dyDescent="0.2">
      <c r="A64" s="25"/>
      <c r="B64" s="25"/>
      <c r="C64" s="34"/>
      <c r="D64" s="25"/>
      <c r="E64" s="25"/>
      <c r="F64" s="35"/>
      <c r="G64" s="35"/>
      <c r="H64" s="24" t="s">
        <v>146</v>
      </c>
    </row>
    <row r="65" spans="1:8" x14ac:dyDescent="0.2">
      <c r="A65" s="25"/>
      <c r="B65" s="25"/>
      <c r="C65" s="26" t="s">
        <v>156</v>
      </c>
      <c r="D65" s="25"/>
      <c r="E65" s="25"/>
      <c r="F65" s="25"/>
      <c r="G65" s="25"/>
      <c r="H65" s="24" t="s">
        <v>146</v>
      </c>
    </row>
    <row r="66" spans="1:8" x14ac:dyDescent="0.2">
      <c r="A66" s="25"/>
      <c r="B66" s="25"/>
      <c r="C66" s="26" t="s">
        <v>145</v>
      </c>
      <c r="D66" s="25"/>
      <c r="E66" s="25" t="s">
        <v>146</v>
      </c>
      <c r="F66" s="36" t="s">
        <v>148</v>
      </c>
      <c r="G66" s="33">
        <v>0</v>
      </c>
      <c r="H66" s="24" t="s">
        <v>146</v>
      </c>
    </row>
    <row r="67" spans="1:8" x14ac:dyDescent="0.2">
      <c r="A67" s="25"/>
      <c r="B67" s="25"/>
      <c r="C67" s="34"/>
      <c r="D67" s="25"/>
      <c r="E67" s="25"/>
      <c r="F67" s="35"/>
      <c r="G67" s="35"/>
      <c r="H67" s="24" t="s">
        <v>146</v>
      </c>
    </row>
    <row r="68" spans="1:8" x14ac:dyDescent="0.2">
      <c r="A68" s="25"/>
      <c r="B68" s="25"/>
      <c r="C68" s="26" t="s">
        <v>157</v>
      </c>
      <c r="D68" s="25"/>
      <c r="E68" s="25"/>
      <c r="F68" s="35"/>
      <c r="G68" s="35"/>
      <c r="H68" s="24" t="s">
        <v>146</v>
      </c>
    </row>
    <row r="69" spans="1:8" x14ac:dyDescent="0.2">
      <c r="A69" s="25"/>
      <c r="B69" s="25"/>
      <c r="C69" s="26" t="s">
        <v>145</v>
      </c>
      <c r="D69" s="25"/>
      <c r="E69" s="25" t="s">
        <v>146</v>
      </c>
      <c r="F69" s="36" t="s">
        <v>148</v>
      </c>
      <c r="G69" s="33">
        <v>0</v>
      </c>
      <c r="H69" s="24" t="s">
        <v>146</v>
      </c>
    </row>
    <row r="70" spans="1:8" x14ac:dyDescent="0.2">
      <c r="A70" s="25"/>
      <c r="B70" s="25"/>
      <c r="C70" s="34"/>
      <c r="D70" s="25"/>
      <c r="E70" s="25"/>
      <c r="F70" s="35"/>
      <c r="G70" s="35"/>
      <c r="H70" s="24" t="s">
        <v>146</v>
      </c>
    </row>
    <row r="71" spans="1:8" x14ac:dyDescent="0.2">
      <c r="A71" s="25"/>
      <c r="B71" s="25"/>
      <c r="C71" s="26" t="s">
        <v>158</v>
      </c>
      <c r="D71" s="25"/>
      <c r="E71" s="25"/>
      <c r="F71" s="32">
        <v>0</v>
      </c>
      <c r="G71" s="33">
        <v>0</v>
      </c>
      <c r="H71" s="24" t="s">
        <v>146</v>
      </c>
    </row>
    <row r="72" spans="1:8" x14ac:dyDescent="0.2">
      <c r="A72" s="25"/>
      <c r="B72" s="25"/>
      <c r="C72" s="34"/>
      <c r="D72" s="25"/>
      <c r="E72" s="25"/>
      <c r="F72" s="35"/>
      <c r="G72" s="35"/>
      <c r="H72" s="24" t="s">
        <v>146</v>
      </c>
    </row>
    <row r="73" spans="1:8" x14ac:dyDescent="0.2">
      <c r="A73" s="25"/>
      <c r="B73" s="25"/>
      <c r="C73" s="26" t="s">
        <v>159</v>
      </c>
      <c r="D73" s="25"/>
      <c r="E73" s="25"/>
      <c r="F73" s="35"/>
      <c r="G73" s="35"/>
      <c r="H73" s="24" t="s">
        <v>146</v>
      </c>
    </row>
    <row r="74" spans="1:8" x14ac:dyDescent="0.2">
      <c r="A74" s="25"/>
      <c r="B74" s="25"/>
      <c r="C74" s="26" t="s">
        <v>160</v>
      </c>
      <c r="D74" s="25"/>
      <c r="E74" s="25"/>
      <c r="F74" s="35"/>
      <c r="G74" s="35"/>
      <c r="H74" s="24" t="s">
        <v>146</v>
      </c>
    </row>
    <row r="75" spans="1:8" x14ac:dyDescent="0.2">
      <c r="A75" s="25"/>
      <c r="B75" s="25"/>
      <c r="C75" s="26" t="s">
        <v>145</v>
      </c>
      <c r="D75" s="25"/>
      <c r="E75" s="25" t="s">
        <v>146</v>
      </c>
      <c r="F75" s="36" t="s">
        <v>148</v>
      </c>
      <c r="G75" s="33">
        <v>0</v>
      </c>
      <c r="H75" s="24" t="s">
        <v>146</v>
      </c>
    </row>
    <row r="76" spans="1:8" x14ac:dyDescent="0.2">
      <c r="A76" s="25"/>
      <c r="B76" s="25"/>
      <c r="C76" s="34"/>
      <c r="D76" s="25"/>
      <c r="E76" s="25"/>
      <c r="F76" s="35"/>
      <c r="G76" s="35"/>
      <c r="H76" s="24" t="s">
        <v>146</v>
      </c>
    </row>
    <row r="77" spans="1:8" x14ac:dyDescent="0.2">
      <c r="A77" s="25"/>
      <c r="B77" s="25"/>
      <c r="C77" s="26" t="s">
        <v>161</v>
      </c>
      <c r="D77" s="25"/>
      <c r="E77" s="25"/>
      <c r="F77" s="35"/>
      <c r="G77" s="35"/>
      <c r="H77" s="24" t="s">
        <v>146</v>
      </c>
    </row>
    <row r="78" spans="1:8" x14ac:dyDescent="0.2">
      <c r="A78" s="25"/>
      <c r="B78" s="25"/>
      <c r="C78" s="26" t="s">
        <v>145</v>
      </c>
      <c r="D78" s="25"/>
      <c r="E78" s="25" t="s">
        <v>146</v>
      </c>
      <c r="F78" s="36" t="s">
        <v>148</v>
      </c>
      <c r="G78" s="33">
        <v>0</v>
      </c>
      <c r="H78" s="24" t="s">
        <v>146</v>
      </c>
    </row>
    <row r="79" spans="1:8" x14ac:dyDescent="0.2">
      <c r="A79" s="25"/>
      <c r="B79" s="25"/>
      <c r="C79" s="34"/>
      <c r="D79" s="25"/>
      <c r="E79" s="25"/>
      <c r="F79" s="35"/>
      <c r="G79" s="35"/>
      <c r="H79" s="24" t="s">
        <v>146</v>
      </c>
    </row>
    <row r="80" spans="1:8" x14ac:dyDescent="0.2">
      <c r="A80" s="25"/>
      <c r="B80" s="25"/>
      <c r="C80" s="26" t="s">
        <v>162</v>
      </c>
      <c r="D80" s="25"/>
      <c r="E80" s="25"/>
      <c r="F80" s="35"/>
      <c r="G80" s="35"/>
      <c r="H80" s="24" t="s">
        <v>146</v>
      </c>
    </row>
    <row r="81" spans="1:8" x14ac:dyDescent="0.2">
      <c r="A81" s="25"/>
      <c r="B81" s="25"/>
      <c r="C81" s="26" t="s">
        <v>145</v>
      </c>
      <c r="D81" s="25"/>
      <c r="E81" s="25" t="s">
        <v>146</v>
      </c>
      <c r="F81" s="36" t="s">
        <v>148</v>
      </c>
      <c r="G81" s="33">
        <v>0</v>
      </c>
      <c r="H81" s="24" t="s">
        <v>146</v>
      </c>
    </row>
    <row r="82" spans="1:8" x14ac:dyDescent="0.2">
      <c r="A82" s="25"/>
      <c r="B82" s="25"/>
      <c r="C82" s="34"/>
      <c r="D82" s="25"/>
      <c r="E82" s="25"/>
      <c r="F82" s="35"/>
      <c r="G82" s="35"/>
      <c r="H82" s="24" t="s">
        <v>146</v>
      </c>
    </row>
    <row r="83" spans="1:8" x14ac:dyDescent="0.2">
      <c r="A83" s="25"/>
      <c r="B83" s="25"/>
      <c r="C83" s="26" t="s">
        <v>163</v>
      </c>
      <c r="D83" s="25"/>
      <c r="E83" s="25"/>
      <c r="F83" s="35"/>
      <c r="G83" s="35"/>
      <c r="H83" s="24" t="s">
        <v>146</v>
      </c>
    </row>
    <row r="84" spans="1:8" x14ac:dyDescent="0.2">
      <c r="A84" s="27">
        <v>1</v>
      </c>
      <c r="B84" s="28"/>
      <c r="C84" s="28" t="s">
        <v>164</v>
      </c>
      <c r="D84" s="28"/>
      <c r="E84" s="38"/>
      <c r="F84" s="30">
        <v>5972.3636293270001</v>
      </c>
      <c r="G84" s="31">
        <v>3.9332220000000001E-2</v>
      </c>
      <c r="H84" s="24">
        <v>6.57</v>
      </c>
    </row>
    <row r="85" spans="1:8" x14ac:dyDescent="0.2">
      <c r="A85" s="25"/>
      <c r="B85" s="25"/>
      <c r="C85" s="26" t="s">
        <v>145</v>
      </c>
      <c r="D85" s="25"/>
      <c r="E85" s="25" t="s">
        <v>146</v>
      </c>
      <c r="F85" s="32">
        <v>5972.3636293270001</v>
      </c>
      <c r="G85" s="33">
        <v>3.9332220000000001E-2</v>
      </c>
      <c r="H85" s="24" t="s">
        <v>146</v>
      </c>
    </row>
    <row r="86" spans="1:8" x14ac:dyDescent="0.2">
      <c r="A86" s="25"/>
      <c r="B86" s="25"/>
      <c r="C86" s="34"/>
      <c r="D86" s="25"/>
      <c r="E86" s="25"/>
      <c r="F86" s="35"/>
      <c r="G86" s="35"/>
      <c r="H86" s="24" t="s">
        <v>146</v>
      </c>
    </row>
    <row r="87" spans="1:8" x14ac:dyDescent="0.2">
      <c r="A87" s="25"/>
      <c r="B87" s="25"/>
      <c r="C87" s="26" t="s">
        <v>165</v>
      </c>
      <c r="D87" s="25"/>
      <c r="E87" s="25"/>
      <c r="F87" s="32">
        <v>5972.3636293270001</v>
      </c>
      <c r="G87" s="33">
        <v>3.9332220000000001E-2</v>
      </c>
      <c r="H87" s="24" t="s">
        <v>146</v>
      </c>
    </row>
    <row r="88" spans="1:8" x14ac:dyDescent="0.2">
      <c r="A88" s="25"/>
      <c r="B88" s="25"/>
      <c r="C88" s="35"/>
      <c r="D88" s="25"/>
      <c r="E88" s="25"/>
      <c r="F88" s="25"/>
      <c r="G88" s="25"/>
      <c r="H88" s="24" t="s">
        <v>146</v>
      </c>
    </row>
    <row r="89" spans="1:8" x14ac:dyDescent="0.2">
      <c r="A89" s="25"/>
      <c r="B89" s="25"/>
      <c r="C89" s="26" t="s">
        <v>166</v>
      </c>
      <c r="D89" s="25"/>
      <c r="E89" s="25"/>
      <c r="F89" s="25"/>
      <c r="G89" s="25"/>
      <c r="H89" s="24" t="s">
        <v>146</v>
      </c>
    </row>
    <row r="90" spans="1:8" x14ac:dyDescent="0.2">
      <c r="A90" s="25"/>
      <c r="B90" s="25"/>
      <c r="C90" s="26" t="s">
        <v>167</v>
      </c>
      <c r="D90" s="25"/>
      <c r="E90" s="25"/>
      <c r="F90" s="25"/>
      <c r="G90" s="25"/>
      <c r="H90" s="24" t="s">
        <v>146</v>
      </c>
    </row>
    <row r="91" spans="1:8" x14ac:dyDescent="0.2">
      <c r="A91" s="25"/>
      <c r="B91" s="25"/>
      <c r="C91" s="26" t="s">
        <v>145</v>
      </c>
      <c r="D91" s="25"/>
      <c r="E91" s="25" t="s">
        <v>146</v>
      </c>
      <c r="F91" s="36" t="s">
        <v>148</v>
      </c>
      <c r="G91" s="33">
        <v>0</v>
      </c>
      <c r="H91" s="24" t="s">
        <v>146</v>
      </c>
    </row>
    <row r="92" spans="1:8" x14ac:dyDescent="0.2">
      <c r="A92" s="25"/>
      <c r="B92" s="25"/>
      <c r="C92" s="34"/>
      <c r="D92" s="25"/>
      <c r="E92" s="25"/>
      <c r="F92" s="35"/>
      <c r="G92" s="35"/>
      <c r="H92" s="24" t="s">
        <v>146</v>
      </c>
    </row>
    <row r="93" spans="1:8" x14ac:dyDescent="0.2">
      <c r="A93" s="25"/>
      <c r="B93" s="25"/>
      <c r="C93" s="26" t="s">
        <v>168</v>
      </c>
      <c r="D93" s="25"/>
      <c r="E93" s="25"/>
      <c r="F93" s="25"/>
      <c r="G93" s="25"/>
      <c r="H93" s="24" t="s">
        <v>146</v>
      </c>
    </row>
    <row r="94" spans="1:8" x14ac:dyDescent="0.2">
      <c r="A94" s="25"/>
      <c r="B94" s="25"/>
      <c r="C94" s="26" t="s">
        <v>169</v>
      </c>
      <c r="D94" s="25"/>
      <c r="E94" s="25"/>
      <c r="F94" s="25"/>
      <c r="G94" s="25"/>
      <c r="H94" s="24" t="s">
        <v>146</v>
      </c>
    </row>
    <row r="95" spans="1:8" x14ac:dyDescent="0.2">
      <c r="A95" s="25"/>
      <c r="B95" s="25"/>
      <c r="C95" s="26" t="s">
        <v>145</v>
      </c>
      <c r="D95" s="25"/>
      <c r="E95" s="25" t="s">
        <v>146</v>
      </c>
      <c r="F95" s="36" t="s">
        <v>148</v>
      </c>
      <c r="G95" s="33">
        <v>0</v>
      </c>
      <c r="H95" s="24" t="s">
        <v>146</v>
      </c>
    </row>
    <row r="96" spans="1:8" x14ac:dyDescent="0.2">
      <c r="A96" s="25"/>
      <c r="B96" s="25"/>
      <c r="C96" s="34"/>
      <c r="D96" s="25"/>
      <c r="E96" s="25"/>
      <c r="F96" s="35"/>
      <c r="G96" s="35"/>
      <c r="H96" s="24" t="s">
        <v>146</v>
      </c>
    </row>
    <row r="97" spans="1:17" x14ac:dyDescent="0.2">
      <c r="A97" s="25"/>
      <c r="B97" s="25"/>
      <c r="C97" s="26" t="s">
        <v>170</v>
      </c>
      <c r="D97" s="25"/>
      <c r="E97" s="25"/>
      <c r="F97" s="35"/>
      <c r="G97" s="35"/>
      <c r="H97" s="24" t="s">
        <v>146</v>
      </c>
    </row>
    <row r="98" spans="1:17" x14ac:dyDescent="0.2">
      <c r="A98" s="25"/>
      <c r="B98" s="25"/>
      <c r="C98" s="26" t="s">
        <v>145</v>
      </c>
      <c r="D98" s="25"/>
      <c r="E98" s="25" t="s">
        <v>146</v>
      </c>
      <c r="F98" s="36" t="s">
        <v>148</v>
      </c>
      <c r="G98" s="33">
        <v>0</v>
      </c>
      <c r="H98" s="24" t="s">
        <v>146</v>
      </c>
    </row>
    <row r="99" spans="1:17" x14ac:dyDescent="0.2">
      <c r="A99" s="25"/>
      <c r="B99" s="25"/>
      <c r="C99" s="34"/>
      <c r="D99" s="25"/>
      <c r="E99" s="25"/>
      <c r="F99" s="35"/>
      <c r="G99" s="35"/>
      <c r="H99" s="24" t="s">
        <v>146</v>
      </c>
    </row>
    <row r="100" spans="1:17" x14ac:dyDescent="0.2">
      <c r="A100" s="38"/>
      <c r="B100" s="28"/>
      <c r="C100" s="28" t="s">
        <v>171</v>
      </c>
      <c r="D100" s="28"/>
      <c r="E100" s="38"/>
      <c r="F100" s="30">
        <v>-553.88081571999999</v>
      </c>
      <c r="G100" s="31">
        <v>-3.6476999999999998E-3</v>
      </c>
      <c r="H100" s="24" t="s">
        <v>146</v>
      </c>
    </row>
    <row r="101" spans="1:17" x14ac:dyDescent="0.2">
      <c r="A101" s="34"/>
      <c r="B101" s="34"/>
      <c r="C101" s="26" t="s">
        <v>172</v>
      </c>
      <c r="D101" s="35"/>
      <c r="E101" s="35"/>
      <c r="F101" s="32">
        <v>151844.06616260699</v>
      </c>
      <c r="G101" s="39">
        <v>1.0000000200000001</v>
      </c>
      <c r="H101" s="24" t="s">
        <v>146</v>
      </c>
    </row>
    <row r="102" spans="1:17" x14ac:dyDescent="0.2">
      <c r="A102" s="40"/>
      <c r="B102" s="40"/>
      <c r="C102" s="40"/>
      <c r="D102" s="41"/>
      <c r="E102" s="41"/>
      <c r="F102" s="41"/>
      <c r="G102" s="41"/>
    </row>
    <row r="103" spans="1:17" x14ac:dyDescent="0.2">
      <c r="A103" s="42"/>
      <c r="B103" s="236" t="s">
        <v>858</v>
      </c>
      <c r="C103" s="236"/>
      <c r="D103" s="236"/>
      <c r="E103" s="236"/>
      <c r="F103" s="236"/>
      <c r="G103" s="236"/>
      <c r="H103" s="236"/>
      <c r="J103" s="44"/>
    </row>
    <row r="104" spans="1:17" x14ac:dyDescent="0.2">
      <c r="A104" s="42"/>
      <c r="B104" s="236" t="s">
        <v>859</v>
      </c>
      <c r="C104" s="236"/>
      <c r="D104" s="236"/>
      <c r="E104" s="236"/>
      <c r="F104" s="236"/>
      <c r="G104" s="236"/>
      <c r="H104" s="236"/>
      <c r="J104" s="44"/>
    </row>
    <row r="105" spans="1:17" x14ac:dyDescent="0.2">
      <c r="A105" s="42"/>
      <c r="B105" s="236" t="s">
        <v>860</v>
      </c>
      <c r="C105" s="236"/>
      <c r="D105" s="236"/>
      <c r="E105" s="236"/>
      <c r="F105" s="236"/>
      <c r="G105" s="236"/>
      <c r="H105" s="236"/>
      <c r="J105" s="44"/>
    </row>
    <row r="106" spans="1:17" s="46" customFormat="1" ht="65.25" customHeight="1" x14ac:dyDescent="0.25">
      <c r="A106" s="45"/>
      <c r="B106" s="237" t="s">
        <v>861</v>
      </c>
      <c r="C106" s="237"/>
      <c r="D106" s="237"/>
      <c r="E106" s="237"/>
      <c r="F106" s="237"/>
      <c r="G106" s="237"/>
      <c r="H106" s="237"/>
      <c r="I106"/>
      <c r="J106" s="44"/>
      <c r="K106"/>
      <c r="L106"/>
      <c r="M106"/>
      <c r="N106"/>
      <c r="O106"/>
      <c r="P106"/>
      <c r="Q106"/>
    </row>
    <row r="107" spans="1:17" x14ac:dyDescent="0.2">
      <c r="A107" s="42"/>
      <c r="B107" s="236" t="s">
        <v>862</v>
      </c>
      <c r="C107" s="236"/>
      <c r="D107" s="236"/>
      <c r="E107" s="236"/>
      <c r="F107" s="236"/>
      <c r="G107" s="236"/>
      <c r="H107" s="236"/>
      <c r="J107" s="44"/>
    </row>
    <row r="108" spans="1:17" x14ac:dyDescent="0.2">
      <c r="A108" s="47"/>
      <c r="B108" s="47"/>
      <c r="C108" s="47"/>
      <c r="D108" s="48"/>
      <c r="E108" s="48"/>
      <c r="F108" s="48"/>
      <c r="G108" s="48"/>
    </row>
    <row r="109" spans="1:17" x14ac:dyDescent="0.2">
      <c r="A109" s="47"/>
      <c r="B109" s="233" t="s">
        <v>173</v>
      </c>
      <c r="C109" s="234"/>
      <c r="D109" s="235"/>
      <c r="E109" s="49"/>
      <c r="F109" s="48"/>
      <c r="G109" s="48"/>
    </row>
    <row r="110" spans="1:17" ht="27" customHeight="1" x14ac:dyDescent="0.2">
      <c r="A110" s="47"/>
      <c r="B110" s="231" t="s">
        <v>174</v>
      </c>
      <c r="C110" s="232"/>
      <c r="D110" s="26" t="s">
        <v>175</v>
      </c>
      <c r="E110" s="49"/>
      <c r="F110" s="48"/>
      <c r="G110" s="48"/>
    </row>
    <row r="111" spans="1:17" x14ac:dyDescent="0.2">
      <c r="A111" s="47"/>
      <c r="B111" s="231" t="s">
        <v>863</v>
      </c>
      <c r="C111" s="232"/>
      <c r="D111" s="26" t="s">
        <v>175</v>
      </c>
      <c r="E111" s="49"/>
      <c r="F111" s="48"/>
      <c r="G111" s="48"/>
    </row>
    <row r="112" spans="1:17" x14ac:dyDescent="0.2">
      <c r="A112" s="47"/>
      <c r="B112" s="231" t="s">
        <v>176</v>
      </c>
      <c r="C112" s="232"/>
      <c r="D112" s="35" t="s">
        <v>146</v>
      </c>
      <c r="E112" s="49"/>
      <c r="F112" s="48"/>
      <c r="G112" s="48"/>
    </row>
    <row r="113" spans="1:10" x14ac:dyDescent="0.2">
      <c r="A113" s="53"/>
      <c r="B113" s="54" t="s">
        <v>146</v>
      </c>
      <c r="C113" s="54" t="s">
        <v>864</v>
      </c>
      <c r="D113" s="54" t="s">
        <v>177</v>
      </c>
      <c r="E113" s="53"/>
      <c r="F113" s="53"/>
      <c r="G113" s="53"/>
      <c r="J113" s="44"/>
    </row>
    <row r="114" spans="1:10" x14ac:dyDescent="0.2">
      <c r="A114" s="53"/>
      <c r="B114" s="55" t="s">
        <v>178</v>
      </c>
      <c r="C114" s="56">
        <v>45657</v>
      </c>
      <c r="D114" s="56">
        <v>45688</v>
      </c>
      <c r="E114" s="53"/>
      <c r="F114" s="53"/>
      <c r="G114" s="53"/>
      <c r="J114" s="44"/>
    </row>
    <row r="115" spans="1:10" x14ac:dyDescent="0.2">
      <c r="A115" s="57"/>
      <c r="B115" s="28" t="s">
        <v>179</v>
      </c>
      <c r="C115" s="58">
        <v>106.95699999999999</v>
      </c>
      <c r="D115" s="58">
        <v>102.7829</v>
      </c>
      <c r="E115" s="57"/>
      <c r="F115" s="59"/>
      <c r="G115" s="60"/>
    </row>
    <row r="116" spans="1:10" x14ac:dyDescent="0.2">
      <c r="A116" s="57"/>
      <c r="B116" s="28" t="s">
        <v>1025</v>
      </c>
      <c r="C116" s="58">
        <v>33.024500000000003</v>
      </c>
      <c r="D116" s="58">
        <v>31.735700000000001</v>
      </c>
      <c r="E116" s="57"/>
      <c r="F116" s="59"/>
      <c r="G116" s="60"/>
    </row>
    <row r="117" spans="1:10" x14ac:dyDescent="0.2">
      <c r="A117" s="57"/>
      <c r="B117" s="28" t="s">
        <v>180</v>
      </c>
      <c r="C117" s="58">
        <v>98.032899999999998</v>
      </c>
      <c r="D117" s="58">
        <v>94.138900000000007</v>
      </c>
      <c r="E117" s="57"/>
      <c r="F117" s="59"/>
      <c r="G117" s="60"/>
    </row>
    <row r="118" spans="1:10" x14ac:dyDescent="0.2">
      <c r="A118" s="57"/>
      <c r="B118" s="28" t="s">
        <v>1026</v>
      </c>
      <c r="C118" s="58">
        <v>29.767199999999999</v>
      </c>
      <c r="D118" s="58">
        <v>28.584800000000001</v>
      </c>
      <c r="E118" s="57"/>
      <c r="F118" s="59"/>
      <c r="G118" s="60"/>
    </row>
    <row r="119" spans="1:10" x14ac:dyDescent="0.2">
      <c r="A119" s="57"/>
      <c r="B119" s="57"/>
      <c r="C119" s="57"/>
      <c r="D119" s="57"/>
      <c r="E119" s="57"/>
      <c r="F119" s="57"/>
      <c r="G119" s="57"/>
    </row>
    <row r="120" spans="1:10" x14ac:dyDescent="0.2">
      <c r="A120" s="53"/>
      <c r="B120" s="227" t="s">
        <v>865</v>
      </c>
      <c r="C120" s="228"/>
      <c r="D120" s="50" t="s">
        <v>175</v>
      </c>
      <c r="E120" s="53"/>
      <c r="F120" s="53"/>
      <c r="G120" s="53"/>
    </row>
    <row r="121" spans="1:10" x14ac:dyDescent="0.2">
      <c r="A121" s="53"/>
      <c r="B121" s="74"/>
      <c r="C121" s="74"/>
      <c r="D121" s="74"/>
      <c r="E121" s="53"/>
      <c r="F121" s="53"/>
      <c r="G121" s="53"/>
    </row>
    <row r="122" spans="1:10" ht="29.1" customHeight="1" x14ac:dyDescent="0.2">
      <c r="A122" s="53"/>
      <c r="B122" s="227" t="s">
        <v>181</v>
      </c>
      <c r="C122" s="228"/>
      <c r="D122" s="50" t="s">
        <v>175</v>
      </c>
      <c r="E122" s="64"/>
      <c r="F122" s="53"/>
      <c r="G122" s="53"/>
    </row>
    <row r="123" spans="1:10" ht="29.1" customHeight="1" x14ac:dyDescent="0.2">
      <c r="A123" s="53"/>
      <c r="B123" s="227" t="s">
        <v>182</v>
      </c>
      <c r="C123" s="228"/>
      <c r="D123" s="50" t="s">
        <v>175</v>
      </c>
      <c r="E123" s="64"/>
      <c r="F123" s="53"/>
      <c r="G123" s="53"/>
    </row>
    <row r="124" spans="1:10" ht="17.100000000000001" customHeight="1" x14ac:dyDescent="0.2">
      <c r="A124" s="53"/>
      <c r="B124" s="227" t="s">
        <v>183</v>
      </c>
      <c r="C124" s="228"/>
      <c r="D124" s="50" t="s">
        <v>175</v>
      </c>
      <c r="E124" s="64"/>
      <c r="F124" s="53"/>
      <c r="G124" s="53"/>
    </row>
    <row r="125" spans="1:10" ht="17.100000000000001" customHeight="1" x14ac:dyDescent="0.2">
      <c r="A125" s="53"/>
      <c r="B125" s="227" t="s">
        <v>184</v>
      </c>
      <c r="C125" s="228"/>
      <c r="D125" s="65">
        <v>0.24609213871936134</v>
      </c>
      <c r="E125" s="53"/>
      <c r="F125" s="43"/>
      <c r="G125" s="63"/>
    </row>
    <row r="127" spans="1:10" x14ac:dyDescent="0.2">
      <c r="B127" s="229" t="s">
        <v>866</v>
      </c>
      <c r="C127" s="229"/>
    </row>
    <row r="129" spans="2:10" ht="153.75" customHeight="1" x14ac:dyDescent="0.2"/>
    <row r="132" spans="2:10" x14ac:dyDescent="0.2">
      <c r="B132" s="66" t="s">
        <v>867</v>
      </c>
      <c r="C132" s="67"/>
      <c r="D132" s="66"/>
    </row>
    <row r="133" spans="2:10" x14ac:dyDescent="0.2">
      <c r="B133" s="66" t="s">
        <v>1008</v>
      </c>
      <c r="D133" s="66"/>
    </row>
    <row r="134" spans="2:10" ht="165" customHeight="1" x14ac:dyDescent="0.2"/>
    <row r="136" spans="2:10" x14ac:dyDescent="0.2">
      <c r="J136" s="21"/>
    </row>
  </sheetData>
  <mergeCells count="18">
    <mergeCell ref="A1:H1"/>
    <mergeCell ref="A2:H2"/>
    <mergeCell ref="A3:H3"/>
    <mergeCell ref="B111:C111"/>
    <mergeCell ref="B112:C112"/>
    <mergeCell ref="B109:D109"/>
    <mergeCell ref="B110:C110"/>
    <mergeCell ref="B103:H103"/>
    <mergeCell ref="B104:H104"/>
    <mergeCell ref="B105:H105"/>
    <mergeCell ref="B106:H106"/>
    <mergeCell ref="B107:H107"/>
    <mergeCell ref="B122:C122"/>
    <mergeCell ref="B123:C123"/>
    <mergeCell ref="B127:C127"/>
    <mergeCell ref="B120:C120"/>
    <mergeCell ref="B124:C124"/>
    <mergeCell ref="B125:C125"/>
  </mergeCells>
  <hyperlinks>
    <hyperlink ref="I1" location="Index!B2" display="Index" xr:uid="{0DEEC8C8-0DD3-47BE-AA44-42E69468EE8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CF7EE-D396-439A-AEEC-43B625F8CA60}">
  <sheetPr>
    <outlinePr summaryBelow="0" summaryRight="0"/>
  </sheetPr>
  <dimension ref="A1:Q165"/>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9"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818</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17</v>
      </c>
      <c r="C7" s="28" t="s">
        <v>18</v>
      </c>
      <c r="D7" s="28" t="s">
        <v>19</v>
      </c>
      <c r="E7" s="29">
        <v>1946179</v>
      </c>
      <c r="F7" s="30">
        <v>31650.709077</v>
      </c>
      <c r="G7" s="31">
        <v>8.3440280000000006E-2</v>
      </c>
      <c r="H7" s="24" t="s">
        <v>146</v>
      </c>
    </row>
    <row r="8" spans="1:9" x14ac:dyDescent="0.2">
      <c r="A8" s="27">
        <v>2</v>
      </c>
      <c r="B8" s="28" t="s">
        <v>327</v>
      </c>
      <c r="C8" s="28" t="s">
        <v>328</v>
      </c>
      <c r="D8" s="28" t="s">
        <v>33</v>
      </c>
      <c r="E8" s="29">
        <v>1475459</v>
      </c>
      <c r="F8" s="30">
        <v>25064.3597625</v>
      </c>
      <c r="G8" s="31">
        <v>6.6076789999999996E-2</v>
      </c>
      <c r="H8" s="24" t="s">
        <v>146</v>
      </c>
    </row>
    <row r="9" spans="1:9" x14ac:dyDescent="0.2">
      <c r="A9" s="27">
        <v>3</v>
      </c>
      <c r="B9" s="28" t="s">
        <v>14</v>
      </c>
      <c r="C9" s="28" t="s">
        <v>15</v>
      </c>
      <c r="D9" s="28" t="s">
        <v>16</v>
      </c>
      <c r="E9" s="29">
        <v>1532287</v>
      </c>
      <c r="F9" s="30">
        <v>19384.962836999999</v>
      </c>
      <c r="G9" s="31">
        <v>5.1104280000000002E-2</v>
      </c>
      <c r="H9" s="24" t="s">
        <v>146</v>
      </c>
    </row>
    <row r="10" spans="1:9" x14ac:dyDescent="0.2">
      <c r="A10" s="27">
        <v>4</v>
      </c>
      <c r="B10" s="28" t="s">
        <v>339</v>
      </c>
      <c r="C10" s="28" t="s">
        <v>340</v>
      </c>
      <c r="D10" s="28" t="s">
        <v>33</v>
      </c>
      <c r="E10" s="29">
        <v>1179032</v>
      </c>
      <c r="F10" s="30">
        <v>11626.434552000001</v>
      </c>
      <c r="G10" s="31">
        <v>3.0650589999999998E-2</v>
      </c>
      <c r="H10" s="24" t="s">
        <v>146</v>
      </c>
    </row>
    <row r="11" spans="1:9" x14ac:dyDescent="0.2">
      <c r="A11" s="27">
        <v>5</v>
      </c>
      <c r="B11" s="28" t="s">
        <v>644</v>
      </c>
      <c r="C11" s="28" t="s">
        <v>645</v>
      </c>
      <c r="D11" s="28" t="s">
        <v>120</v>
      </c>
      <c r="E11" s="29">
        <v>141055</v>
      </c>
      <c r="F11" s="30">
        <v>11122.327805000001</v>
      </c>
      <c r="G11" s="31">
        <v>2.932162E-2</v>
      </c>
      <c r="H11" s="24" t="s">
        <v>146</v>
      </c>
    </row>
    <row r="12" spans="1:9" x14ac:dyDescent="0.2">
      <c r="A12" s="27">
        <v>6</v>
      </c>
      <c r="B12" s="28" t="s">
        <v>278</v>
      </c>
      <c r="C12" s="28" t="s">
        <v>279</v>
      </c>
      <c r="D12" s="28" t="s">
        <v>280</v>
      </c>
      <c r="E12" s="29">
        <v>1795921</v>
      </c>
      <c r="F12" s="30">
        <v>11062.87336</v>
      </c>
      <c r="G12" s="31">
        <v>2.9164880000000001E-2</v>
      </c>
      <c r="H12" s="24" t="s">
        <v>146</v>
      </c>
    </row>
    <row r="13" spans="1:9" x14ac:dyDescent="0.2">
      <c r="A13" s="27">
        <v>7</v>
      </c>
      <c r="B13" s="28" t="s">
        <v>331</v>
      </c>
      <c r="C13" s="28" t="s">
        <v>332</v>
      </c>
      <c r="D13" s="28" t="s">
        <v>205</v>
      </c>
      <c r="E13" s="29">
        <v>4979977</v>
      </c>
      <c r="F13" s="30">
        <v>10973.3793195</v>
      </c>
      <c r="G13" s="31">
        <v>2.8928949999999998E-2</v>
      </c>
      <c r="H13" s="24" t="s">
        <v>146</v>
      </c>
    </row>
    <row r="14" spans="1:9" ht="25.5" x14ac:dyDescent="0.2">
      <c r="A14" s="27">
        <v>8</v>
      </c>
      <c r="B14" s="28" t="s">
        <v>73</v>
      </c>
      <c r="C14" s="28" t="s">
        <v>74</v>
      </c>
      <c r="D14" s="28" t="s">
        <v>75</v>
      </c>
      <c r="E14" s="29">
        <v>989627</v>
      </c>
      <c r="F14" s="30">
        <v>10879.4644245</v>
      </c>
      <c r="G14" s="31">
        <v>2.8681359999999999E-2</v>
      </c>
      <c r="H14" s="24" t="s">
        <v>146</v>
      </c>
    </row>
    <row r="15" spans="1:9" x14ac:dyDescent="0.2">
      <c r="A15" s="27">
        <v>9</v>
      </c>
      <c r="B15" s="28" t="s">
        <v>31</v>
      </c>
      <c r="C15" s="28" t="s">
        <v>32</v>
      </c>
      <c r="D15" s="28" t="s">
        <v>33</v>
      </c>
      <c r="E15" s="29">
        <v>849819</v>
      </c>
      <c r="F15" s="30">
        <v>10646.532432</v>
      </c>
      <c r="G15" s="31">
        <v>2.8067290000000002E-2</v>
      </c>
      <c r="H15" s="24" t="s">
        <v>146</v>
      </c>
    </row>
    <row r="16" spans="1:9" x14ac:dyDescent="0.2">
      <c r="A16" s="27">
        <v>10</v>
      </c>
      <c r="B16" s="28" t="s">
        <v>792</v>
      </c>
      <c r="C16" s="28" t="s">
        <v>793</v>
      </c>
      <c r="D16" s="28" t="s">
        <v>208</v>
      </c>
      <c r="E16" s="29">
        <v>155851</v>
      </c>
      <c r="F16" s="30">
        <v>10614.232355</v>
      </c>
      <c r="G16" s="31">
        <v>2.7982139999999999E-2</v>
      </c>
      <c r="H16" s="24" t="s">
        <v>146</v>
      </c>
    </row>
    <row r="17" spans="1:8" x14ac:dyDescent="0.2">
      <c r="A17" s="27">
        <v>11</v>
      </c>
      <c r="B17" s="28" t="s">
        <v>363</v>
      </c>
      <c r="C17" s="28" t="s">
        <v>364</v>
      </c>
      <c r="D17" s="28" t="s">
        <v>39</v>
      </c>
      <c r="E17" s="29">
        <v>275874</v>
      </c>
      <c r="F17" s="30">
        <v>9628.6922849999992</v>
      </c>
      <c r="G17" s="31">
        <v>2.5383969999999999E-2</v>
      </c>
      <c r="H17" s="24" t="s">
        <v>146</v>
      </c>
    </row>
    <row r="18" spans="1:8" x14ac:dyDescent="0.2">
      <c r="A18" s="27">
        <v>12</v>
      </c>
      <c r="B18" s="28" t="s">
        <v>448</v>
      </c>
      <c r="C18" s="28" t="s">
        <v>449</v>
      </c>
      <c r="D18" s="28" t="s">
        <v>33</v>
      </c>
      <c r="E18" s="29">
        <v>923656</v>
      </c>
      <c r="F18" s="30">
        <v>9155.2782719999996</v>
      </c>
      <c r="G18" s="31">
        <v>2.4135920000000002E-2</v>
      </c>
      <c r="H18" s="24" t="s">
        <v>146</v>
      </c>
    </row>
    <row r="19" spans="1:8" x14ac:dyDescent="0.2">
      <c r="A19" s="27">
        <v>13</v>
      </c>
      <c r="B19" s="28" t="s">
        <v>76</v>
      </c>
      <c r="C19" s="28" t="s">
        <v>77</v>
      </c>
      <c r="D19" s="28" t="s">
        <v>19</v>
      </c>
      <c r="E19" s="29">
        <v>2418626</v>
      </c>
      <c r="F19" s="30">
        <v>8397.4694720000007</v>
      </c>
      <c r="G19" s="31">
        <v>2.2138120000000001E-2</v>
      </c>
      <c r="H19" s="24" t="s">
        <v>146</v>
      </c>
    </row>
    <row r="20" spans="1:8" x14ac:dyDescent="0.2">
      <c r="A20" s="27">
        <v>14</v>
      </c>
      <c r="B20" s="28" t="s">
        <v>317</v>
      </c>
      <c r="C20" s="28" t="s">
        <v>318</v>
      </c>
      <c r="D20" s="28" t="s">
        <v>120</v>
      </c>
      <c r="E20" s="29">
        <v>531462</v>
      </c>
      <c r="F20" s="30">
        <v>8071.8448559999997</v>
      </c>
      <c r="G20" s="31">
        <v>2.1279679999999999E-2</v>
      </c>
      <c r="H20" s="24" t="s">
        <v>146</v>
      </c>
    </row>
    <row r="21" spans="1:8" x14ac:dyDescent="0.2">
      <c r="A21" s="27">
        <v>15</v>
      </c>
      <c r="B21" s="28" t="s">
        <v>389</v>
      </c>
      <c r="C21" s="28" t="s">
        <v>390</v>
      </c>
      <c r="D21" s="28" t="s">
        <v>33</v>
      </c>
      <c r="E21" s="29">
        <v>21909337</v>
      </c>
      <c r="F21" s="30">
        <v>7869.8338504000003</v>
      </c>
      <c r="G21" s="31">
        <v>2.0747120000000001E-2</v>
      </c>
      <c r="H21" s="24" t="s">
        <v>146</v>
      </c>
    </row>
    <row r="22" spans="1:8" x14ac:dyDescent="0.2">
      <c r="A22" s="27">
        <v>16</v>
      </c>
      <c r="B22" s="28" t="s">
        <v>377</v>
      </c>
      <c r="C22" s="28" t="s">
        <v>378</v>
      </c>
      <c r="D22" s="28" t="s">
        <v>208</v>
      </c>
      <c r="E22" s="29">
        <v>1552344</v>
      </c>
      <c r="F22" s="30">
        <v>7630.5469320000002</v>
      </c>
      <c r="G22" s="31">
        <v>2.0116289999999998E-2</v>
      </c>
      <c r="H22" s="24" t="s">
        <v>146</v>
      </c>
    </row>
    <row r="23" spans="1:8" x14ac:dyDescent="0.2">
      <c r="A23" s="27">
        <v>17</v>
      </c>
      <c r="B23" s="28" t="s">
        <v>463</v>
      </c>
      <c r="C23" s="28" t="s">
        <v>464</v>
      </c>
      <c r="D23" s="28" t="s">
        <v>120</v>
      </c>
      <c r="E23" s="29">
        <v>863054</v>
      </c>
      <c r="F23" s="30">
        <v>7579.340228</v>
      </c>
      <c r="G23" s="31">
        <v>1.99813E-2</v>
      </c>
      <c r="H23" s="24" t="s">
        <v>146</v>
      </c>
    </row>
    <row r="24" spans="1:8" x14ac:dyDescent="0.2">
      <c r="A24" s="27">
        <v>18</v>
      </c>
      <c r="B24" s="28" t="s">
        <v>383</v>
      </c>
      <c r="C24" s="28" t="s">
        <v>384</v>
      </c>
      <c r="D24" s="28" t="s">
        <v>195</v>
      </c>
      <c r="E24" s="29">
        <v>1050270</v>
      </c>
      <c r="F24" s="30">
        <v>7342.9627049999999</v>
      </c>
      <c r="G24" s="31">
        <v>1.9358139999999999E-2</v>
      </c>
      <c r="H24" s="24" t="s">
        <v>146</v>
      </c>
    </row>
    <row r="25" spans="1:8" x14ac:dyDescent="0.2">
      <c r="A25" s="27">
        <v>19</v>
      </c>
      <c r="B25" s="28" t="s">
        <v>313</v>
      </c>
      <c r="C25" s="28" t="s">
        <v>314</v>
      </c>
      <c r="D25" s="28" t="s">
        <v>47</v>
      </c>
      <c r="E25" s="29">
        <v>432866</v>
      </c>
      <c r="F25" s="30">
        <v>7106.7939880000004</v>
      </c>
      <c r="G25" s="31">
        <v>1.873553E-2</v>
      </c>
      <c r="H25" s="24" t="s">
        <v>146</v>
      </c>
    </row>
    <row r="26" spans="1:8" x14ac:dyDescent="0.2">
      <c r="A26" s="27">
        <v>20</v>
      </c>
      <c r="B26" s="28" t="s">
        <v>352</v>
      </c>
      <c r="C26" s="28" t="s">
        <v>353</v>
      </c>
      <c r="D26" s="28" t="s">
        <v>354</v>
      </c>
      <c r="E26" s="29">
        <v>453931</v>
      </c>
      <c r="F26" s="30">
        <v>6845.0525145000001</v>
      </c>
      <c r="G26" s="31">
        <v>1.8045510000000001E-2</v>
      </c>
      <c r="H26" s="24" t="s">
        <v>146</v>
      </c>
    </row>
    <row r="27" spans="1:8" x14ac:dyDescent="0.2">
      <c r="A27" s="27">
        <v>21</v>
      </c>
      <c r="B27" s="28" t="s">
        <v>118</v>
      </c>
      <c r="C27" s="28" t="s">
        <v>119</v>
      </c>
      <c r="D27" s="28" t="s">
        <v>120</v>
      </c>
      <c r="E27" s="29">
        <v>1446135</v>
      </c>
      <c r="F27" s="30">
        <v>6505.4382974999999</v>
      </c>
      <c r="G27" s="31">
        <v>1.7150189999999999E-2</v>
      </c>
      <c r="H27" s="24" t="s">
        <v>146</v>
      </c>
    </row>
    <row r="28" spans="1:8" x14ac:dyDescent="0.2">
      <c r="A28" s="27">
        <v>22</v>
      </c>
      <c r="B28" s="28" t="s">
        <v>771</v>
      </c>
      <c r="C28" s="28" t="s">
        <v>772</v>
      </c>
      <c r="D28" s="28" t="s">
        <v>195</v>
      </c>
      <c r="E28" s="29">
        <v>109074</v>
      </c>
      <c r="F28" s="30">
        <v>6450.7999710000004</v>
      </c>
      <c r="G28" s="31">
        <v>1.7006139999999999E-2</v>
      </c>
      <c r="H28" s="24" t="s">
        <v>146</v>
      </c>
    </row>
    <row r="29" spans="1:8" x14ac:dyDescent="0.2">
      <c r="A29" s="27">
        <v>23</v>
      </c>
      <c r="B29" s="28" t="s">
        <v>234</v>
      </c>
      <c r="C29" s="28" t="s">
        <v>235</v>
      </c>
      <c r="D29" s="28" t="s">
        <v>205</v>
      </c>
      <c r="E29" s="29">
        <v>82387</v>
      </c>
      <c r="F29" s="30">
        <v>6363.3247190000002</v>
      </c>
      <c r="G29" s="31">
        <v>1.6775539999999999E-2</v>
      </c>
      <c r="H29" s="24" t="s">
        <v>146</v>
      </c>
    </row>
    <row r="30" spans="1:8" x14ac:dyDescent="0.2">
      <c r="A30" s="27">
        <v>24</v>
      </c>
      <c r="B30" s="28" t="s">
        <v>269</v>
      </c>
      <c r="C30" s="28" t="s">
        <v>270</v>
      </c>
      <c r="D30" s="28" t="s">
        <v>120</v>
      </c>
      <c r="E30" s="29">
        <v>1149235</v>
      </c>
      <c r="F30" s="30">
        <v>6248.9653125000004</v>
      </c>
      <c r="G30" s="31">
        <v>1.647405E-2</v>
      </c>
      <c r="H30" s="24" t="s">
        <v>146</v>
      </c>
    </row>
    <row r="31" spans="1:8" x14ac:dyDescent="0.2">
      <c r="A31" s="27">
        <v>25</v>
      </c>
      <c r="B31" s="28" t="s">
        <v>387</v>
      </c>
      <c r="C31" s="28" t="s">
        <v>388</v>
      </c>
      <c r="D31" s="28" t="s">
        <v>33</v>
      </c>
      <c r="E31" s="29">
        <v>9120524</v>
      </c>
      <c r="F31" s="30">
        <v>6065.1484600000003</v>
      </c>
      <c r="G31" s="31">
        <v>1.598946E-2</v>
      </c>
      <c r="H31" s="24" t="s">
        <v>146</v>
      </c>
    </row>
    <row r="32" spans="1:8" x14ac:dyDescent="0.2">
      <c r="A32" s="27">
        <v>26</v>
      </c>
      <c r="B32" s="28" t="s">
        <v>248</v>
      </c>
      <c r="C32" s="28" t="s">
        <v>249</v>
      </c>
      <c r="D32" s="28" t="s">
        <v>223</v>
      </c>
      <c r="E32" s="29">
        <v>732261</v>
      </c>
      <c r="F32" s="30">
        <v>5645.3661794999998</v>
      </c>
      <c r="G32" s="31">
        <v>1.488279E-2</v>
      </c>
      <c r="H32" s="24" t="s">
        <v>146</v>
      </c>
    </row>
    <row r="33" spans="1:8" x14ac:dyDescent="0.2">
      <c r="A33" s="27">
        <v>27</v>
      </c>
      <c r="B33" s="28" t="s">
        <v>413</v>
      </c>
      <c r="C33" s="28" t="s">
        <v>414</v>
      </c>
      <c r="D33" s="28" t="s">
        <v>223</v>
      </c>
      <c r="E33" s="29">
        <v>717133</v>
      </c>
      <c r="F33" s="30">
        <v>5205.3098805</v>
      </c>
      <c r="G33" s="31">
        <v>1.3722679999999999E-2</v>
      </c>
      <c r="H33" s="24" t="s">
        <v>146</v>
      </c>
    </row>
    <row r="34" spans="1:8" x14ac:dyDescent="0.2">
      <c r="A34" s="27">
        <v>28</v>
      </c>
      <c r="B34" s="28" t="s">
        <v>329</v>
      </c>
      <c r="C34" s="28" t="s">
        <v>330</v>
      </c>
      <c r="D34" s="28" t="s">
        <v>195</v>
      </c>
      <c r="E34" s="29">
        <v>260951</v>
      </c>
      <c r="F34" s="30">
        <v>4905.356898</v>
      </c>
      <c r="G34" s="31">
        <v>1.293192E-2</v>
      </c>
      <c r="H34" s="24" t="s">
        <v>146</v>
      </c>
    </row>
    <row r="35" spans="1:8" x14ac:dyDescent="0.2">
      <c r="A35" s="27">
        <v>29</v>
      </c>
      <c r="B35" s="28" t="s">
        <v>385</v>
      </c>
      <c r="C35" s="28" t="s">
        <v>386</v>
      </c>
      <c r="D35" s="28" t="s">
        <v>33</v>
      </c>
      <c r="E35" s="29">
        <v>1561198</v>
      </c>
      <c r="F35" s="30">
        <v>4778.8270780000003</v>
      </c>
      <c r="G35" s="31">
        <v>1.2598349999999999E-2</v>
      </c>
      <c r="H35" s="24" t="s">
        <v>146</v>
      </c>
    </row>
    <row r="36" spans="1:8" x14ac:dyDescent="0.2">
      <c r="A36" s="27">
        <v>30</v>
      </c>
      <c r="B36" s="28" t="s">
        <v>417</v>
      </c>
      <c r="C36" s="28" t="s">
        <v>418</v>
      </c>
      <c r="D36" s="28" t="s">
        <v>354</v>
      </c>
      <c r="E36" s="29">
        <v>1096915</v>
      </c>
      <c r="F36" s="30">
        <v>4656.9526324999997</v>
      </c>
      <c r="G36" s="31">
        <v>1.2277049999999999E-2</v>
      </c>
      <c r="H36" s="24" t="s">
        <v>146</v>
      </c>
    </row>
    <row r="37" spans="1:8" x14ac:dyDescent="0.2">
      <c r="A37" s="27">
        <v>31</v>
      </c>
      <c r="B37" s="28" t="s">
        <v>399</v>
      </c>
      <c r="C37" s="28" t="s">
        <v>400</v>
      </c>
      <c r="D37" s="28" t="s">
        <v>401</v>
      </c>
      <c r="E37" s="29">
        <v>425515</v>
      </c>
      <c r="F37" s="30">
        <v>4640.2410749999999</v>
      </c>
      <c r="G37" s="31">
        <v>1.2233000000000001E-2</v>
      </c>
      <c r="H37" s="24" t="s">
        <v>146</v>
      </c>
    </row>
    <row r="38" spans="1:8" x14ac:dyDescent="0.2">
      <c r="A38" s="27">
        <v>32</v>
      </c>
      <c r="B38" s="28" t="s">
        <v>530</v>
      </c>
      <c r="C38" s="28" t="s">
        <v>531</v>
      </c>
      <c r="D38" s="28" t="s">
        <v>195</v>
      </c>
      <c r="E38" s="29">
        <v>275867</v>
      </c>
      <c r="F38" s="30">
        <v>4619.2549815000002</v>
      </c>
      <c r="G38" s="31">
        <v>1.217767E-2</v>
      </c>
      <c r="H38" s="24" t="s">
        <v>146</v>
      </c>
    </row>
    <row r="39" spans="1:8" x14ac:dyDescent="0.2">
      <c r="A39" s="27">
        <v>33</v>
      </c>
      <c r="B39" s="28" t="s">
        <v>350</v>
      </c>
      <c r="C39" s="28" t="s">
        <v>351</v>
      </c>
      <c r="D39" s="28" t="s">
        <v>233</v>
      </c>
      <c r="E39" s="29">
        <v>80256</v>
      </c>
      <c r="F39" s="30">
        <v>4601.0363520000001</v>
      </c>
      <c r="G39" s="31">
        <v>1.2129640000000001E-2</v>
      </c>
      <c r="H39" s="24" t="s">
        <v>146</v>
      </c>
    </row>
    <row r="40" spans="1:8" x14ac:dyDescent="0.2">
      <c r="A40" s="27">
        <v>34</v>
      </c>
      <c r="B40" s="28" t="s">
        <v>307</v>
      </c>
      <c r="C40" s="28" t="s">
        <v>308</v>
      </c>
      <c r="D40" s="28" t="s">
        <v>120</v>
      </c>
      <c r="E40" s="29">
        <v>265869</v>
      </c>
      <c r="F40" s="30">
        <v>4553.8042320000004</v>
      </c>
      <c r="G40" s="31">
        <v>1.2005119999999999E-2</v>
      </c>
      <c r="H40" s="24" t="s">
        <v>146</v>
      </c>
    </row>
    <row r="41" spans="1:8" x14ac:dyDescent="0.2">
      <c r="A41" s="27">
        <v>35</v>
      </c>
      <c r="B41" s="28" t="s">
        <v>381</v>
      </c>
      <c r="C41" s="28" t="s">
        <v>382</v>
      </c>
      <c r="D41" s="28" t="s">
        <v>223</v>
      </c>
      <c r="E41" s="29">
        <v>1525526</v>
      </c>
      <c r="F41" s="30">
        <v>4417.9232959999999</v>
      </c>
      <c r="G41" s="31">
        <v>1.16469E-2</v>
      </c>
      <c r="H41" s="24" t="s">
        <v>146</v>
      </c>
    </row>
    <row r="42" spans="1:8" x14ac:dyDescent="0.2">
      <c r="A42" s="27">
        <v>36</v>
      </c>
      <c r="B42" s="28" t="s">
        <v>206</v>
      </c>
      <c r="C42" s="28" t="s">
        <v>207</v>
      </c>
      <c r="D42" s="28" t="s">
        <v>208</v>
      </c>
      <c r="E42" s="29">
        <v>670186</v>
      </c>
      <c r="F42" s="30">
        <v>4290.5307720000001</v>
      </c>
      <c r="G42" s="31">
        <v>1.131106E-2</v>
      </c>
      <c r="H42" s="24" t="s">
        <v>146</v>
      </c>
    </row>
    <row r="43" spans="1:8" x14ac:dyDescent="0.2">
      <c r="A43" s="27">
        <v>37</v>
      </c>
      <c r="B43" s="28" t="s">
        <v>493</v>
      </c>
      <c r="C43" s="28" t="s">
        <v>494</v>
      </c>
      <c r="D43" s="28" t="s">
        <v>39</v>
      </c>
      <c r="E43" s="29">
        <v>811804</v>
      </c>
      <c r="F43" s="30">
        <v>3813.855192</v>
      </c>
      <c r="G43" s="31">
        <v>1.005441E-2</v>
      </c>
      <c r="H43" s="24" t="s">
        <v>146</v>
      </c>
    </row>
    <row r="44" spans="1:8" x14ac:dyDescent="0.2">
      <c r="A44" s="27">
        <v>38</v>
      </c>
      <c r="B44" s="28" t="s">
        <v>819</v>
      </c>
      <c r="C44" s="28" t="s">
        <v>820</v>
      </c>
      <c r="D44" s="28" t="s">
        <v>512</v>
      </c>
      <c r="E44" s="29">
        <v>7354</v>
      </c>
      <c r="F44" s="30">
        <v>3288.9698669999998</v>
      </c>
      <c r="G44" s="31">
        <v>8.6706600000000002E-3</v>
      </c>
      <c r="H44" s="24" t="s">
        <v>146</v>
      </c>
    </row>
    <row r="45" spans="1:8" x14ac:dyDescent="0.2">
      <c r="A45" s="27">
        <v>39</v>
      </c>
      <c r="B45" s="28" t="s">
        <v>125</v>
      </c>
      <c r="C45" s="28" t="s">
        <v>126</v>
      </c>
      <c r="D45" s="28" t="s">
        <v>80</v>
      </c>
      <c r="E45" s="29">
        <v>1018676</v>
      </c>
      <c r="F45" s="30">
        <v>3270.4592980000002</v>
      </c>
      <c r="G45" s="31">
        <v>8.6218600000000003E-3</v>
      </c>
      <c r="H45" s="24" t="s">
        <v>146</v>
      </c>
    </row>
    <row r="46" spans="1:8" x14ac:dyDescent="0.2">
      <c r="A46" s="27">
        <v>40</v>
      </c>
      <c r="B46" s="28" t="s">
        <v>498</v>
      </c>
      <c r="C46" s="28" t="s">
        <v>499</v>
      </c>
      <c r="D46" s="28" t="s">
        <v>280</v>
      </c>
      <c r="E46" s="29">
        <v>564156</v>
      </c>
      <c r="F46" s="30">
        <v>3249.8206380000001</v>
      </c>
      <c r="G46" s="31">
        <v>8.5674500000000008E-3</v>
      </c>
      <c r="H46" s="24" t="s">
        <v>146</v>
      </c>
    </row>
    <row r="47" spans="1:8" ht="25.5" x14ac:dyDescent="0.2">
      <c r="A47" s="27">
        <v>41</v>
      </c>
      <c r="B47" s="28" t="s">
        <v>402</v>
      </c>
      <c r="C47" s="28" t="s">
        <v>403</v>
      </c>
      <c r="D47" s="28" t="s">
        <v>404</v>
      </c>
      <c r="E47" s="29">
        <v>941308</v>
      </c>
      <c r="F47" s="30">
        <v>3154.7937619999998</v>
      </c>
      <c r="G47" s="31">
        <v>8.3169300000000002E-3</v>
      </c>
      <c r="H47" s="24" t="s">
        <v>146</v>
      </c>
    </row>
    <row r="48" spans="1:8" x14ac:dyDescent="0.2">
      <c r="A48" s="27">
        <v>42</v>
      </c>
      <c r="B48" s="28" t="s">
        <v>421</v>
      </c>
      <c r="C48" s="28" t="s">
        <v>422</v>
      </c>
      <c r="D48" s="28" t="s">
        <v>80</v>
      </c>
      <c r="E48" s="29">
        <v>247498</v>
      </c>
      <c r="F48" s="30">
        <v>2629.418752</v>
      </c>
      <c r="G48" s="31">
        <v>6.9319000000000004E-3</v>
      </c>
      <c r="H48" s="24" t="s">
        <v>146</v>
      </c>
    </row>
    <row r="49" spans="1:8" x14ac:dyDescent="0.2">
      <c r="A49" s="27">
        <v>43</v>
      </c>
      <c r="B49" s="28" t="s">
        <v>738</v>
      </c>
      <c r="C49" s="28" t="s">
        <v>739</v>
      </c>
      <c r="D49" s="28" t="s">
        <v>208</v>
      </c>
      <c r="E49" s="29">
        <v>139519</v>
      </c>
      <c r="F49" s="30">
        <v>2507.0169110000002</v>
      </c>
      <c r="G49" s="31">
        <v>6.6092099999999999E-3</v>
      </c>
      <c r="H49" s="24" t="s">
        <v>146</v>
      </c>
    </row>
    <row r="50" spans="1:8" x14ac:dyDescent="0.2">
      <c r="A50" s="27">
        <v>44</v>
      </c>
      <c r="B50" s="28" t="s">
        <v>419</v>
      </c>
      <c r="C50" s="28" t="s">
        <v>420</v>
      </c>
      <c r="D50" s="28" t="s">
        <v>120</v>
      </c>
      <c r="E50" s="29">
        <v>223589</v>
      </c>
      <c r="F50" s="30">
        <v>2421.1334864999999</v>
      </c>
      <c r="G50" s="31">
        <v>6.3828000000000001E-3</v>
      </c>
      <c r="H50" s="24" t="s">
        <v>146</v>
      </c>
    </row>
    <row r="51" spans="1:8" x14ac:dyDescent="0.2">
      <c r="A51" s="27">
        <v>45</v>
      </c>
      <c r="B51" s="28" t="s">
        <v>508</v>
      </c>
      <c r="C51" s="28" t="s">
        <v>509</v>
      </c>
      <c r="D51" s="28" t="s">
        <v>233</v>
      </c>
      <c r="E51" s="29">
        <v>202966</v>
      </c>
      <c r="F51" s="30">
        <v>2107.8019100000001</v>
      </c>
      <c r="G51" s="31">
        <v>5.5567699999999999E-3</v>
      </c>
      <c r="H51" s="24" t="s">
        <v>146</v>
      </c>
    </row>
    <row r="52" spans="1:8" x14ac:dyDescent="0.2">
      <c r="A52" s="27">
        <v>46</v>
      </c>
      <c r="B52" s="28" t="s">
        <v>252</v>
      </c>
      <c r="C52" s="28" t="s">
        <v>253</v>
      </c>
      <c r="D52" s="28" t="s">
        <v>195</v>
      </c>
      <c r="E52" s="29">
        <v>25130</v>
      </c>
      <c r="F52" s="30">
        <v>2076.7055049999999</v>
      </c>
      <c r="G52" s="31">
        <v>5.4747900000000002E-3</v>
      </c>
      <c r="H52" s="24" t="s">
        <v>146</v>
      </c>
    </row>
    <row r="53" spans="1:8" x14ac:dyDescent="0.2">
      <c r="A53" s="27">
        <v>47</v>
      </c>
      <c r="B53" s="28" t="s">
        <v>78</v>
      </c>
      <c r="C53" s="28" t="s">
        <v>79</v>
      </c>
      <c r="D53" s="28" t="s">
        <v>80</v>
      </c>
      <c r="E53" s="29">
        <v>44887</v>
      </c>
      <c r="F53" s="30">
        <v>1941.0709844999999</v>
      </c>
      <c r="G53" s="31">
        <v>5.1172199999999996E-3</v>
      </c>
      <c r="H53" s="24" t="s">
        <v>146</v>
      </c>
    </row>
    <row r="54" spans="1:8" x14ac:dyDescent="0.2">
      <c r="A54" s="27">
        <v>48</v>
      </c>
      <c r="B54" s="28" t="s">
        <v>807</v>
      </c>
      <c r="C54" s="28" t="s">
        <v>808</v>
      </c>
      <c r="D54" s="28" t="s">
        <v>205</v>
      </c>
      <c r="E54" s="29">
        <v>464550</v>
      </c>
      <c r="F54" s="30">
        <v>1932.9925499999999</v>
      </c>
      <c r="G54" s="31">
        <v>5.0959200000000003E-3</v>
      </c>
      <c r="H54" s="24" t="s">
        <v>146</v>
      </c>
    </row>
    <row r="55" spans="1:8" x14ac:dyDescent="0.2">
      <c r="A55" s="27">
        <v>49</v>
      </c>
      <c r="B55" s="28" t="s">
        <v>821</v>
      </c>
      <c r="C55" s="28" t="s">
        <v>822</v>
      </c>
      <c r="D55" s="28" t="s">
        <v>233</v>
      </c>
      <c r="E55" s="29">
        <v>42806</v>
      </c>
      <c r="F55" s="30">
        <v>1656.5493939999999</v>
      </c>
      <c r="G55" s="31">
        <v>4.3671400000000003E-3</v>
      </c>
      <c r="H55" s="24" t="s">
        <v>146</v>
      </c>
    </row>
    <row r="56" spans="1:8" x14ac:dyDescent="0.2">
      <c r="A56" s="27">
        <v>50</v>
      </c>
      <c r="B56" s="28" t="s">
        <v>63</v>
      </c>
      <c r="C56" s="28" t="s">
        <v>64</v>
      </c>
      <c r="D56" s="28" t="s">
        <v>19</v>
      </c>
      <c r="E56" s="29">
        <v>66087</v>
      </c>
      <c r="F56" s="30">
        <v>895.41276300000004</v>
      </c>
      <c r="G56" s="31">
        <v>2.3605599999999998E-3</v>
      </c>
      <c r="H56" s="24" t="s">
        <v>146</v>
      </c>
    </row>
    <row r="57" spans="1:8" x14ac:dyDescent="0.2">
      <c r="A57" s="27">
        <v>51</v>
      </c>
      <c r="B57" s="28" t="s">
        <v>395</v>
      </c>
      <c r="C57" s="28" t="s">
        <v>396</v>
      </c>
      <c r="D57" s="28" t="s">
        <v>233</v>
      </c>
      <c r="E57" s="29">
        <v>140</v>
      </c>
      <c r="F57" s="30">
        <v>3.2845399999999998</v>
      </c>
      <c r="G57" s="31" t="s">
        <v>144</v>
      </c>
      <c r="H57" s="24" t="s">
        <v>146</v>
      </c>
    </row>
    <row r="58" spans="1:8" x14ac:dyDescent="0.2">
      <c r="A58" s="25"/>
      <c r="B58" s="25"/>
      <c r="C58" s="26" t="s">
        <v>145</v>
      </c>
      <c r="D58" s="25"/>
      <c r="E58" s="25" t="s">
        <v>146</v>
      </c>
      <c r="F58" s="32">
        <f>SUM(F7:F57)</f>
        <v>351550.65671740007</v>
      </c>
      <c r="G58" s="33">
        <f>SUM(G7:G57)</f>
        <v>0.92677894000000027</v>
      </c>
      <c r="H58" s="24" t="s">
        <v>146</v>
      </c>
    </row>
    <row r="59" spans="1:8" x14ac:dyDescent="0.2">
      <c r="A59" s="25"/>
      <c r="B59" s="25"/>
      <c r="C59" s="34"/>
      <c r="D59" s="25"/>
      <c r="E59" s="25"/>
      <c r="F59" s="35"/>
      <c r="G59" s="35"/>
      <c r="H59" s="24" t="s">
        <v>146</v>
      </c>
    </row>
    <row r="60" spans="1:8" x14ac:dyDescent="0.2">
      <c r="A60" s="25"/>
      <c r="B60" s="25"/>
      <c r="C60" s="26" t="s">
        <v>147</v>
      </c>
      <c r="D60" s="25"/>
      <c r="E60" s="25"/>
      <c r="F60" s="25"/>
      <c r="G60" s="25"/>
      <c r="H60" s="24" t="s">
        <v>146</v>
      </c>
    </row>
    <row r="61" spans="1:8" x14ac:dyDescent="0.2">
      <c r="A61" s="27">
        <v>1</v>
      </c>
      <c r="B61" s="28" t="s">
        <v>823</v>
      </c>
      <c r="C61" s="37" t="s">
        <v>1009</v>
      </c>
      <c r="D61" s="28" t="s">
        <v>223</v>
      </c>
      <c r="E61" s="29">
        <v>37829</v>
      </c>
      <c r="F61" s="30">
        <v>3581.3871027599998</v>
      </c>
      <c r="G61" s="31">
        <v>9.4415599999999999E-3</v>
      </c>
      <c r="H61" s="24" t="s">
        <v>146</v>
      </c>
    </row>
    <row r="62" spans="1:8" x14ac:dyDescent="0.2">
      <c r="A62" s="25"/>
      <c r="B62" s="25"/>
      <c r="C62" s="26" t="s">
        <v>145</v>
      </c>
      <c r="D62" s="25"/>
      <c r="E62" s="25" t="s">
        <v>146</v>
      </c>
      <c r="F62" s="32">
        <f>SUM(F61)</f>
        <v>3581.3871027599998</v>
      </c>
      <c r="G62" s="33">
        <f>SUM(G61)</f>
        <v>9.4415599999999999E-3</v>
      </c>
      <c r="H62" s="24" t="s">
        <v>146</v>
      </c>
    </row>
    <row r="63" spans="1:8" x14ac:dyDescent="0.2">
      <c r="A63" s="25"/>
      <c r="B63" s="25"/>
      <c r="C63" s="34"/>
      <c r="D63" s="25"/>
      <c r="E63" s="25"/>
      <c r="F63" s="35"/>
      <c r="G63" s="35"/>
      <c r="H63" s="24" t="s">
        <v>146</v>
      </c>
    </row>
    <row r="64" spans="1:8" x14ac:dyDescent="0.2">
      <c r="A64" s="25"/>
      <c r="B64" s="25"/>
      <c r="C64" s="26" t="s">
        <v>149</v>
      </c>
      <c r="D64" s="25"/>
      <c r="E64" s="25"/>
      <c r="F64" s="25"/>
      <c r="G64" s="25"/>
      <c r="H64" s="24" t="s">
        <v>146</v>
      </c>
    </row>
    <row r="65" spans="1:8" x14ac:dyDescent="0.2">
      <c r="A65" s="25"/>
      <c r="B65" s="25"/>
      <c r="C65" s="26" t="s">
        <v>145</v>
      </c>
      <c r="D65" s="25"/>
      <c r="E65" s="25" t="s">
        <v>146</v>
      </c>
      <c r="F65" s="36" t="s">
        <v>148</v>
      </c>
      <c r="G65" s="33">
        <v>0</v>
      </c>
      <c r="H65" s="24" t="s">
        <v>146</v>
      </c>
    </row>
    <row r="66" spans="1:8" x14ac:dyDescent="0.2">
      <c r="A66" s="25"/>
      <c r="B66" s="25"/>
      <c r="C66" s="34"/>
      <c r="D66" s="25"/>
      <c r="E66" s="25"/>
      <c r="F66" s="35"/>
      <c r="G66" s="35"/>
      <c r="H66" s="24" t="s">
        <v>146</v>
      </c>
    </row>
    <row r="67" spans="1:8" x14ac:dyDescent="0.2">
      <c r="A67" s="25"/>
      <c r="B67" s="25"/>
      <c r="C67" s="26" t="s">
        <v>150</v>
      </c>
      <c r="D67" s="25"/>
      <c r="E67" s="25"/>
      <c r="F67" s="25"/>
      <c r="G67" s="25"/>
      <c r="H67" s="24" t="s">
        <v>146</v>
      </c>
    </row>
    <row r="68" spans="1:8" x14ac:dyDescent="0.2">
      <c r="A68" s="25"/>
      <c r="B68" s="25"/>
      <c r="C68" s="26" t="s">
        <v>145</v>
      </c>
      <c r="D68" s="25"/>
      <c r="E68" s="25" t="s">
        <v>146</v>
      </c>
      <c r="F68" s="36" t="s">
        <v>148</v>
      </c>
      <c r="G68" s="33">
        <v>0</v>
      </c>
      <c r="H68" s="24" t="s">
        <v>146</v>
      </c>
    </row>
    <row r="69" spans="1:8" x14ac:dyDescent="0.2">
      <c r="A69" s="25"/>
      <c r="B69" s="25"/>
      <c r="C69" s="34"/>
      <c r="D69" s="25"/>
      <c r="E69" s="25"/>
      <c r="F69" s="35"/>
      <c r="G69" s="35"/>
      <c r="H69" s="24" t="s">
        <v>146</v>
      </c>
    </row>
    <row r="70" spans="1:8" x14ac:dyDescent="0.2">
      <c r="A70" s="25"/>
      <c r="B70" s="25"/>
      <c r="C70" s="26" t="s">
        <v>151</v>
      </c>
      <c r="D70" s="25"/>
      <c r="E70" s="25"/>
      <c r="F70" s="35"/>
      <c r="G70" s="35"/>
      <c r="H70" s="24" t="s">
        <v>146</v>
      </c>
    </row>
    <row r="71" spans="1:8" x14ac:dyDescent="0.2">
      <c r="A71" s="25"/>
      <c r="B71" s="25"/>
      <c r="C71" s="26" t="s">
        <v>145</v>
      </c>
      <c r="D71" s="25"/>
      <c r="E71" s="25" t="s">
        <v>146</v>
      </c>
      <c r="F71" s="36" t="s">
        <v>148</v>
      </c>
      <c r="G71" s="33">
        <v>0</v>
      </c>
      <c r="H71" s="24" t="s">
        <v>146</v>
      </c>
    </row>
    <row r="72" spans="1:8" x14ac:dyDescent="0.2">
      <c r="A72" s="25"/>
      <c r="B72" s="25"/>
      <c r="C72" s="34"/>
      <c r="D72" s="25"/>
      <c r="E72" s="25"/>
      <c r="F72" s="35"/>
      <c r="G72" s="35"/>
      <c r="H72" s="24" t="s">
        <v>146</v>
      </c>
    </row>
    <row r="73" spans="1:8" x14ac:dyDescent="0.2">
      <c r="A73" s="25"/>
      <c r="B73" s="25"/>
      <c r="C73" s="26" t="s">
        <v>152</v>
      </c>
      <c r="D73" s="25"/>
      <c r="E73" s="25"/>
      <c r="F73" s="35"/>
      <c r="G73" s="35"/>
      <c r="H73" s="24" t="s">
        <v>146</v>
      </c>
    </row>
    <row r="74" spans="1:8" x14ac:dyDescent="0.2">
      <c r="A74" s="27">
        <v>1</v>
      </c>
      <c r="B74" s="28"/>
      <c r="C74" s="28" t="s">
        <v>882</v>
      </c>
      <c r="D74" s="28" t="s">
        <v>519</v>
      </c>
      <c r="E74" s="29">
        <v>223200</v>
      </c>
      <c r="F74" s="30">
        <v>5001.1307999999999</v>
      </c>
      <c r="G74" s="31">
        <v>1.3184400000000001E-2</v>
      </c>
      <c r="H74" s="24" t="s">
        <v>146</v>
      </c>
    </row>
    <row r="75" spans="1:8" x14ac:dyDescent="0.2">
      <c r="A75" s="27">
        <v>2</v>
      </c>
      <c r="B75" s="28"/>
      <c r="C75" s="28" t="s">
        <v>1010</v>
      </c>
      <c r="D75" s="28" t="s">
        <v>519</v>
      </c>
      <c r="E75" s="29">
        <v>173850</v>
      </c>
      <c r="F75" s="30">
        <v>560.57932500000004</v>
      </c>
      <c r="G75" s="31">
        <v>1.47785E-3</v>
      </c>
      <c r="H75" s="24" t="s">
        <v>146</v>
      </c>
    </row>
    <row r="76" spans="1:8" x14ac:dyDescent="0.2">
      <c r="A76" s="25"/>
      <c r="B76" s="25"/>
      <c r="C76" s="26" t="s">
        <v>145</v>
      </c>
      <c r="D76" s="25"/>
      <c r="E76" s="25" t="s">
        <v>146</v>
      </c>
      <c r="F76" s="32">
        <v>5561.7101249999996</v>
      </c>
      <c r="G76" s="33">
        <v>1.466225E-2</v>
      </c>
      <c r="H76" s="24" t="s">
        <v>146</v>
      </c>
    </row>
    <row r="77" spans="1:8" x14ac:dyDescent="0.2">
      <c r="A77" s="25"/>
      <c r="B77" s="25"/>
      <c r="C77" s="34"/>
      <c r="D77" s="25"/>
      <c r="E77" s="25"/>
      <c r="F77" s="35"/>
      <c r="G77" s="35"/>
      <c r="H77" s="24" t="s">
        <v>146</v>
      </c>
    </row>
    <row r="78" spans="1:8" x14ac:dyDescent="0.2">
      <c r="A78" s="25"/>
      <c r="B78" s="25"/>
      <c r="C78" s="26" t="s">
        <v>153</v>
      </c>
      <c r="D78" s="25"/>
      <c r="E78" s="25"/>
      <c r="F78" s="32">
        <f>F76+F62+F58</f>
        <v>360693.75394516008</v>
      </c>
      <c r="G78" s="33">
        <f>G76+G62+G58</f>
        <v>0.95088275000000022</v>
      </c>
      <c r="H78" s="24" t="s">
        <v>146</v>
      </c>
    </row>
    <row r="79" spans="1:8" x14ac:dyDescent="0.2">
      <c r="A79" s="25"/>
      <c r="B79" s="25"/>
      <c r="C79" s="34"/>
      <c r="D79" s="25"/>
      <c r="E79" s="25"/>
      <c r="F79" s="35"/>
      <c r="G79" s="35"/>
      <c r="H79" s="24" t="s">
        <v>146</v>
      </c>
    </row>
    <row r="80" spans="1:8" x14ac:dyDescent="0.2">
      <c r="A80" s="25"/>
      <c r="B80" s="25"/>
      <c r="C80" s="26" t="s">
        <v>154</v>
      </c>
      <c r="D80" s="25"/>
      <c r="E80" s="25"/>
      <c r="F80" s="35"/>
      <c r="G80" s="35"/>
      <c r="H80" s="24" t="s">
        <v>146</v>
      </c>
    </row>
    <row r="81" spans="1:8" x14ac:dyDescent="0.2">
      <c r="A81" s="25"/>
      <c r="B81" s="25"/>
      <c r="C81" s="26" t="s">
        <v>10</v>
      </c>
      <c r="D81" s="25"/>
      <c r="E81" s="25"/>
      <c r="F81" s="35"/>
      <c r="G81" s="35"/>
      <c r="H81" s="24" t="s">
        <v>146</v>
      </c>
    </row>
    <row r="82" spans="1:8" x14ac:dyDescent="0.2">
      <c r="A82" s="25"/>
      <c r="B82" s="25"/>
      <c r="C82" s="26" t="s">
        <v>145</v>
      </c>
      <c r="D82" s="25"/>
      <c r="E82" s="25" t="s">
        <v>146</v>
      </c>
      <c r="F82" s="36" t="s">
        <v>148</v>
      </c>
      <c r="G82" s="33">
        <v>0</v>
      </c>
      <c r="H82" s="24" t="s">
        <v>146</v>
      </c>
    </row>
    <row r="83" spans="1:8" x14ac:dyDescent="0.2">
      <c r="A83" s="25"/>
      <c r="B83" s="25"/>
      <c r="C83" s="34"/>
      <c r="D83" s="25"/>
      <c r="E83" s="25"/>
      <c r="F83" s="35"/>
      <c r="G83" s="35"/>
      <c r="H83" s="24" t="s">
        <v>146</v>
      </c>
    </row>
    <row r="84" spans="1:8" x14ac:dyDescent="0.2">
      <c r="A84" s="25"/>
      <c r="B84" s="25"/>
      <c r="C84" s="26" t="s">
        <v>155</v>
      </c>
      <c r="D84" s="25"/>
      <c r="E84" s="25"/>
      <c r="F84" s="25"/>
      <c r="G84" s="25"/>
      <c r="H84" s="24" t="s">
        <v>146</v>
      </c>
    </row>
    <row r="85" spans="1:8" x14ac:dyDescent="0.2">
      <c r="A85" s="25"/>
      <c r="B85" s="25"/>
      <c r="C85" s="26" t="s">
        <v>145</v>
      </c>
      <c r="D85" s="25"/>
      <c r="E85" s="25" t="s">
        <v>146</v>
      </c>
      <c r="F85" s="36" t="s">
        <v>148</v>
      </c>
      <c r="G85" s="33">
        <v>0</v>
      </c>
      <c r="H85" s="24" t="s">
        <v>146</v>
      </c>
    </row>
    <row r="86" spans="1:8" x14ac:dyDescent="0.2">
      <c r="A86" s="25"/>
      <c r="B86" s="25"/>
      <c r="C86" s="34"/>
      <c r="D86" s="25"/>
      <c r="E86" s="25"/>
      <c r="F86" s="35"/>
      <c r="G86" s="35"/>
      <c r="H86" s="24" t="s">
        <v>146</v>
      </c>
    </row>
    <row r="87" spans="1:8" x14ac:dyDescent="0.2">
      <c r="A87" s="25"/>
      <c r="B87" s="25"/>
      <c r="C87" s="26" t="s">
        <v>156</v>
      </c>
      <c r="D87" s="25"/>
      <c r="E87" s="25"/>
      <c r="F87" s="25"/>
      <c r="G87" s="25"/>
      <c r="H87" s="24" t="s">
        <v>146</v>
      </c>
    </row>
    <row r="88" spans="1:8" x14ac:dyDescent="0.2">
      <c r="A88" s="25"/>
      <c r="B88" s="25"/>
      <c r="C88" s="26" t="s">
        <v>145</v>
      </c>
      <c r="D88" s="25"/>
      <c r="E88" s="25" t="s">
        <v>146</v>
      </c>
      <c r="F88" s="36" t="s">
        <v>148</v>
      </c>
      <c r="G88" s="33">
        <v>0</v>
      </c>
      <c r="H88" s="24" t="s">
        <v>146</v>
      </c>
    </row>
    <row r="89" spans="1:8" x14ac:dyDescent="0.2">
      <c r="A89" s="25"/>
      <c r="B89" s="25"/>
      <c r="C89" s="34"/>
      <c r="D89" s="25"/>
      <c r="E89" s="25"/>
      <c r="F89" s="35"/>
      <c r="G89" s="35"/>
      <c r="H89" s="24" t="s">
        <v>146</v>
      </c>
    </row>
    <row r="90" spans="1:8" x14ac:dyDescent="0.2">
      <c r="A90" s="25"/>
      <c r="B90" s="25"/>
      <c r="C90" s="26" t="s">
        <v>157</v>
      </c>
      <c r="D90" s="25"/>
      <c r="E90" s="25"/>
      <c r="F90" s="35"/>
      <c r="G90" s="35"/>
      <c r="H90" s="24" t="s">
        <v>146</v>
      </c>
    </row>
    <row r="91" spans="1:8" x14ac:dyDescent="0.2">
      <c r="A91" s="25"/>
      <c r="B91" s="25"/>
      <c r="C91" s="26" t="s">
        <v>145</v>
      </c>
      <c r="D91" s="25"/>
      <c r="E91" s="25" t="s">
        <v>146</v>
      </c>
      <c r="F91" s="36" t="s">
        <v>148</v>
      </c>
      <c r="G91" s="33">
        <v>0</v>
      </c>
      <c r="H91" s="24" t="s">
        <v>146</v>
      </c>
    </row>
    <row r="92" spans="1:8" x14ac:dyDescent="0.2">
      <c r="A92" s="25"/>
      <c r="B92" s="25"/>
      <c r="C92" s="34"/>
      <c r="D92" s="25"/>
      <c r="E92" s="25"/>
      <c r="F92" s="35"/>
      <c r="G92" s="35"/>
      <c r="H92" s="24" t="s">
        <v>146</v>
      </c>
    </row>
    <row r="93" spans="1:8" x14ac:dyDescent="0.2">
      <c r="A93" s="25"/>
      <c r="B93" s="25"/>
      <c r="C93" s="26" t="s">
        <v>158</v>
      </c>
      <c r="D93" s="25"/>
      <c r="E93" s="25"/>
      <c r="F93" s="32">
        <v>0</v>
      </c>
      <c r="G93" s="33">
        <v>0</v>
      </c>
      <c r="H93" s="24" t="s">
        <v>146</v>
      </c>
    </row>
    <row r="94" spans="1:8" x14ac:dyDescent="0.2">
      <c r="A94" s="25"/>
      <c r="B94" s="25"/>
      <c r="C94" s="34"/>
      <c r="D94" s="25"/>
      <c r="E94" s="25"/>
      <c r="F94" s="35"/>
      <c r="G94" s="35"/>
      <c r="H94" s="24" t="s">
        <v>146</v>
      </c>
    </row>
    <row r="95" spans="1:8" x14ac:dyDescent="0.2">
      <c r="A95" s="25"/>
      <c r="B95" s="25"/>
      <c r="C95" s="26" t="s">
        <v>159</v>
      </c>
      <c r="D95" s="25"/>
      <c r="E95" s="25"/>
      <c r="F95" s="35"/>
      <c r="G95" s="35"/>
      <c r="H95" s="24" t="s">
        <v>146</v>
      </c>
    </row>
    <row r="96" spans="1:8" x14ac:dyDescent="0.2">
      <c r="A96" s="25"/>
      <c r="B96" s="25"/>
      <c r="C96" s="26" t="s">
        <v>160</v>
      </c>
      <c r="D96" s="25"/>
      <c r="E96" s="25"/>
      <c r="F96" s="35"/>
      <c r="G96" s="35"/>
      <c r="H96" s="24" t="s">
        <v>146</v>
      </c>
    </row>
    <row r="97" spans="1:8" x14ac:dyDescent="0.2">
      <c r="A97" s="25"/>
      <c r="B97" s="25"/>
      <c r="C97" s="26" t="s">
        <v>145</v>
      </c>
      <c r="D97" s="25"/>
      <c r="E97" s="25" t="s">
        <v>146</v>
      </c>
      <c r="F97" s="36" t="s">
        <v>148</v>
      </c>
      <c r="G97" s="33">
        <v>0</v>
      </c>
      <c r="H97" s="24" t="s">
        <v>146</v>
      </c>
    </row>
    <row r="98" spans="1:8" x14ac:dyDescent="0.2">
      <c r="A98" s="25"/>
      <c r="B98" s="25"/>
      <c r="C98" s="34"/>
      <c r="D98" s="25"/>
      <c r="E98" s="25"/>
      <c r="F98" s="35"/>
      <c r="G98" s="35"/>
      <c r="H98" s="24" t="s">
        <v>146</v>
      </c>
    </row>
    <row r="99" spans="1:8" x14ac:dyDescent="0.2">
      <c r="A99" s="25"/>
      <c r="B99" s="25"/>
      <c r="C99" s="26" t="s">
        <v>161</v>
      </c>
      <c r="D99" s="25"/>
      <c r="E99" s="25"/>
      <c r="F99" s="35"/>
      <c r="G99" s="35"/>
      <c r="H99" s="24" t="s">
        <v>146</v>
      </c>
    </row>
    <row r="100" spans="1:8" x14ac:dyDescent="0.2">
      <c r="A100" s="25"/>
      <c r="B100" s="25"/>
      <c r="C100" s="26" t="s">
        <v>145</v>
      </c>
      <c r="D100" s="25"/>
      <c r="E100" s="25" t="s">
        <v>146</v>
      </c>
      <c r="F100" s="36" t="s">
        <v>148</v>
      </c>
      <c r="G100" s="33">
        <v>0</v>
      </c>
      <c r="H100" s="24" t="s">
        <v>146</v>
      </c>
    </row>
    <row r="101" spans="1:8" x14ac:dyDescent="0.2">
      <c r="A101" s="25"/>
      <c r="B101" s="25"/>
      <c r="C101" s="34"/>
      <c r="D101" s="25"/>
      <c r="E101" s="25"/>
      <c r="F101" s="35"/>
      <c r="G101" s="35"/>
      <c r="H101" s="24" t="s">
        <v>146</v>
      </c>
    </row>
    <row r="102" spans="1:8" x14ac:dyDescent="0.2">
      <c r="A102" s="25"/>
      <c r="B102" s="25"/>
      <c r="C102" s="26" t="s">
        <v>162</v>
      </c>
      <c r="D102" s="25"/>
      <c r="E102" s="25"/>
      <c r="F102" s="35"/>
      <c r="G102" s="35"/>
      <c r="H102" s="24" t="s">
        <v>146</v>
      </c>
    </row>
    <row r="103" spans="1:8" x14ac:dyDescent="0.2">
      <c r="A103" s="27">
        <v>1</v>
      </c>
      <c r="B103" s="28" t="s">
        <v>663</v>
      </c>
      <c r="C103" s="28" t="s">
        <v>1085</v>
      </c>
      <c r="D103" s="28" t="s">
        <v>521</v>
      </c>
      <c r="E103" s="29">
        <v>3000000</v>
      </c>
      <c r="F103" s="30">
        <v>2884.3049999999998</v>
      </c>
      <c r="G103" s="31">
        <v>7.6038499999999997E-3</v>
      </c>
      <c r="H103" s="24">
        <v>6.5949999999999998</v>
      </c>
    </row>
    <row r="104" spans="1:8" x14ac:dyDescent="0.2">
      <c r="A104" s="27">
        <v>2</v>
      </c>
      <c r="B104" s="28" t="s">
        <v>520</v>
      </c>
      <c r="C104" s="28" t="s">
        <v>1077</v>
      </c>
      <c r="D104" s="28" t="s">
        <v>521</v>
      </c>
      <c r="E104" s="29">
        <v>1000000</v>
      </c>
      <c r="F104" s="30">
        <v>984.19</v>
      </c>
      <c r="G104" s="31">
        <v>2.5946099999999998E-3</v>
      </c>
      <c r="H104" s="24">
        <v>6.5149999999999997</v>
      </c>
    </row>
    <row r="105" spans="1:8" x14ac:dyDescent="0.2">
      <c r="A105" s="25"/>
      <c r="B105" s="25"/>
      <c r="C105" s="26" t="s">
        <v>145</v>
      </c>
      <c r="D105" s="25"/>
      <c r="E105" s="25" t="s">
        <v>146</v>
      </c>
      <c r="F105" s="32">
        <v>3868.4949999999999</v>
      </c>
      <c r="G105" s="33">
        <v>1.0198459999999999E-2</v>
      </c>
      <c r="H105" s="24" t="s">
        <v>146</v>
      </c>
    </row>
    <row r="106" spans="1:8" x14ac:dyDescent="0.2">
      <c r="A106" s="25"/>
      <c r="B106" s="25"/>
      <c r="C106" s="34"/>
      <c r="D106" s="25"/>
      <c r="E106" s="25"/>
      <c r="F106" s="35"/>
      <c r="G106" s="35"/>
      <c r="H106" s="24" t="s">
        <v>146</v>
      </c>
    </row>
    <row r="107" spans="1:8" x14ac:dyDescent="0.2">
      <c r="A107" s="25"/>
      <c r="B107" s="25"/>
      <c r="C107" s="26" t="s">
        <v>163</v>
      </c>
      <c r="D107" s="25"/>
      <c r="E107" s="25"/>
      <c r="F107" s="35"/>
      <c r="G107" s="35"/>
      <c r="H107" s="24" t="s">
        <v>146</v>
      </c>
    </row>
    <row r="108" spans="1:8" x14ac:dyDescent="0.2">
      <c r="A108" s="27">
        <v>1</v>
      </c>
      <c r="B108" s="28"/>
      <c r="C108" s="28" t="s">
        <v>164</v>
      </c>
      <c r="D108" s="28"/>
      <c r="E108" s="38"/>
      <c r="F108" s="30">
        <v>19903.146133692</v>
      </c>
      <c r="G108" s="31">
        <v>5.2470360000000001E-2</v>
      </c>
      <c r="H108" s="24">
        <v>6.57</v>
      </c>
    </row>
    <row r="109" spans="1:8" x14ac:dyDescent="0.2">
      <c r="A109" s="25"/>
      <c r="B109" s="25"/>
      <c r="C109" s="26" t="s">
        <v>145</v>
      </c>
      <c r="D109" s="25"/>
      <c r="E109" s="25" t="s">
        <v>146</v>
      </c>
      <c r="F109" s="32">
        <v>19903.146133692</v>
      </c>
      <c r="G109" s="33">
        <v>5.2470360000000001E-2</v>
      </c>
      <c r="H109" s="24" t="s">
        <v>146</v>
      </c>
    </row>
    <row r="110" spans="1:8" x14ac:dyDescent="0.2">
      <c r="A110" s="25"/>
      <c r="B110" s="25"/>
      <c r="C110" s="34"/>
      <c r="D110" s="25"/>
      <c r="E110" s="25"/>
      <c r="F110" s="35"/>
      <c r="G110" s="35"/>
      <c r="H110" s="24" t="s">
        <v>146</v>
      </c>
    </row>
    <row r="111" spans="1:8" x14ac:dyDescent="0.2">
      <c r="A111" s="25"/>
      <c r="B111" s="25"/>
      <c r="C111" s="26" t="s">
        <v>165</v>
      </c>
      <c r="D111" s="25"/>
      <c r="E111" s="25"/>
      <c r="F111" s="32">
        <v>23771.641133691999</v>
      </c>
      <c r="G111" s="33">
        <v>6.266882E-2</v>
      </c>
      <c r="H111" s="24" t="s">
        <v>146</v>
      </c>
    </row>
    <row r="112" spans="1:8" x14ac:dyDescent="0.2">
      <c r="A112" s="25"/>
      <c r="B112" s="25"/>
      <c r="C112" s="35"/>
      <c r="D112" s="25"/>
      <c r="E112" s="25"/>
      <c r="F112" s="25"/>
      <c r="G112" s="25"/>
      <c r="H112" s="24" t="s">
        <v>146</v>
      </c>
    </row>
    <row r="113" spans="1:10" x14ac:dyDescent="0.2">
      <c r="A113" s="25"/>
      <c r="B113" s="25"/>
      <c r="C113" s="26" t="s">
        <v>166</v>
      </c>
      <c r="D113" s="25"/>
      <c r="E113" s="25"/>
      <c r="F113" s="25"/>
      <c r="G113" s="25"/>
      <c r="H113" s="24" t="s">
        <v>146</v>
      </c>
    </row>
    <row r="114" spans="1:10" x14ac:dyDescent="0.2">
      <c r="A114" s="25"/>
      <c r="B114" s="25"/>
      <c r="C114" s="26" t="s">
        <v>167</v>
      </c>
      <c r="D114" s="25"/>
      <c r="E114" s="25"/>
      <c r="F114" s="25"/>
      <c r="G114" s="25"/>
      <c r="H114" s="24" t="s">
        <v>146</v>
      </c>
    </row>
    <row r="115" spans="1:10" x14ac:dyDescent="0.2">
      <c r="A115" s="25"/>
      <c r="B115" s="25"/>
      <c r="C115" s="26" t="s">
        <v>145</v>
      </c>
      <c r="D115" s="25"/>
      <c r="E115" s="25" t="s">
        <v>146</v>
      </c>
      <c r="F115" s="36" t="s">
        <v>148</v>
      </c>
      <c r="G115" s="33">
        <v>0</v>
      </c>
      <c r="H115" s="24" t="s">
        <v>146</v>
      </c>
    </row>
    <row r="116" spans="1:10" x14ac:dyDescent="0.2">
      <c r="A116" s="25"/>
      <c r="B116" s="25"/>
      <c r="C116" s="34"/>
      <c r="D116" s="25"/>
      <c r="E116" s="25"/>
      <c r="F116" s="35"/>
      <c r="G116" s="35"/>
      <c r="H116" s="24" t="s">
        <v>146</v>
      </c>
    </row>
    <row r="117" spans="1:10" x14ac:dyDescent="0.2">
      <c r="A117" s="25"/>
      <c r="B117" s="25"/>
      <c r="C117" s="26" t="s">
        <v>168</v>
      </c>
      <c r="D117" s="25"/>
      <c r="E117" s="25"/>
      <c r="F117" s="25"/>
      <c r="G117" s="25"/>
      <c r="H117" s="24" t="s">
        <v>146</v>
      </c>
    </row>
    <row r="118" spans="1:10" x14ac:dyDescent="0.2">
      <c r="A118" s="25"/>
      <c r="B118" s="25"/>
      <c r="C118" s="26" t="s">
        <v>169</v>
      </c>
      <c r="D118" s="25"/>
      <c r="E118" s="25"/>
      <c r="F118" s="25"/>
      <c r="G118" s="25"/>
      <c r="H118" s="24" t="s">
        <v>146</v>
      </c>
    </row>
    <row r="119" spans="1:10" x14ac:dyDescent="0.2">
      <c r="A119" s="25"/>
      <c r="B119" s="25"/>
      <c r="C119" s="26" t="s">
        <v>145</v>
      </c>
      <c r="D119" s="25"/>
      <c r="E119" s="25" t="s">
        <v>146</v>
      </c>
      <c r="F119" s="36" t="s">
        <v>148</v>
      </c>
      <c r="G119" s="33">
        <v>0</v>
      </c>
      <c r="H119" s="24" t="s">
        <v>146</v>
      </c>
    </row>
    <row r="120" spans="1:10" x14ac:dyDescent="0.2">
      <c r="A120" s="25"/>
      <c r="B120" s="25"/>
      <c r="C120" s="34"/>
      <c r="D120" s="25"/>
      <c r="E120" s="25"/>
      <c r="F120" s="35"/>
      <c r="G120" s="35"/>
      <c r="H120" s="24" t="s">
        <v>146</v>
      </c>
    </row>
    <row r="121" spans="1:10" x14ac:dyDescent="0.2">
      <c r="A121" s="25"/>
      <c r="B121" s="25"/>
      <c r="C121" s="26" t="s">
        <v>170</v>
      </c>
      <c r="D121" s="25"/>
      <c r="E121" s="25"/>
      <c r="F121" s="35"/>
      <c r="G121" s="35"/>
      <c r="H121" s="24" t="s">
        <v>146</v>
      </c>
    </row>
    <row r="122" spans="1:10" x14ac:dyDescent="0.2">
      <c r="A122" s="25"/>
      <c r="B122" s="25"/>
      <c r="C122" s="26" t="s">
        <v>145</v>
      </c>
      <c r="D122" s="25"/>
      <c r="E122" s="25" t="s">
        <v>146</v>
      </c>
      <c r="F122" s="36" t="s">
        <v>148</v>
      </c>
      <c r="G122" s="33">
        <v>0</v>
      </c>
      <c r="H122" s="24" t="s">
        <v>146</v>
      </c>
    </row>
    <row r="123" spans="1:10" x14ac:dyDescent="0.2">
      <c r="A123" s="25"/>
      <c r="B123" s="25"/>
      <c r="C123" s="34"/>
      <c r="D123" s="25"/>
      <c r="E123" s="25"/>
      <c r="F123" s="35"/>
      <c r="G123" s="35"/>
      <c r="H123" s="24" t="s">
        <v>146</v>
      </c>
    </row>
    <row r="124" spans="1:10" x14ac:dyDescent="0.2">
      <c r="A124" s="38"/>
      <c r="B124" s="28"/>
      <c r="C124" s="28" t="s">
        <v>522</v>
      </c>
      <c r="D124" s="28"/>
      <c r="E124" s="38"/>
      <c r="F124" s="30">
        <v>1017.3174221</v>
      </c>
      <c r="G124" s="31">
        <v>2.6819399999999998E-3</v>
      </c>
      <c r="H124" s="24" t="s">
        <v>146</v>
      </c>
    </row>
    <row r="125" spans="1:10" x14ac:dyDescent="0.2">
      <c r="A125" s="38"/>
      <c r="B125" s="28"/>
      <c r="C125" s="37" t="s">
        <v>884</v>
      </c>
      <c r="D125" s="28"/>
      <c r="E125" s="38"/>
      <c r="F125" s="30">
        <f>-6160.98939312</f>
        <v>-6160.9893931200004</v>
      </c>
      <c r="G125" s="31">
        <f>F125/F126</f>
        <v>-1.62421211805172E-2</v>
      </c>
      <c r="H125" s="24" t="s">
        <v>146</v>
      </c>
    </row>
    <row r="126" spans="1:10" x14ac:dyDescent="0.2">
      <c r="A126" s="34"/>
      <c r="B126" s="34"/>
      <c r="C126" s="26" t="s">
        <v>172</v>
      </c>
      <c r="D126" s="35"/>
      <c r="E126" s="35"/>
      <c r="F126" s="32">
        <f>F125+F124+F111+F78</f>
        <v>379321.72310783208</v>
      </c>
      <c r="G126" s="39">
        <f>G125+G124+G111+G78</f>
        <v>0.99999138881948302</v>
      </c>
      <c r="H126" s="24" t="s">
        <v>146</v>
      </c>
    </row>
    <row r="127" spans="1:10" x14ac:dyDescent="0.2">
      <c r="A127" s="40"/>
      <c r="B127" s="40"/>
      <c r="C127" s="40"/>
      <c r="D127" s="41"/>
      <c r="E127" s="41"/>
      <c r="F127" s="41"/>
      <c r="G127" s="41"/>
    </row>
    <row r="128" spans="1:10" x14ac:dyDescent="0.2">
      <c r="A128" s="42"/>
      <c r="B128" s="236" t="s">
        <v>858</v>
      </c>
      <c r="C128" s="236"/>
      <c r="D128" s="236"/>
      <c r="E128" s="236"/>
      <c r="F128" s="236"/>
      <c r="G128" s="236"/>
      <c r="H128" s="236"/>
      <c r="J128" s="44"/>
    </row>
    <row r="129" spans="1:17" x14ac:dyDescent="0.2">
      <c r="A129" s="42"/>
      <c r="B129" s="236" t="s">
        <v>859</v>
      </c>
      <c r="C129" s="236"/>
      <c r="D129" s="236"/>
      <c r="E129" s="236"/>
      <c r="F129" s="236"/>
      <c r="G129" s="236"/>
      <c r="H129" s="236"/>
      <c r="J129" s="44"/>
    </row>
    <row r="130" spans="1:17" x14ac:dyDescent="0.2">
      <c r="A130" s="42"/>
      <c r="B130" s="236" t="s">
        <v>860</v>
      </c>
      <c r="C130" s="236"/>
      <c r="D130" s="236"/>
      <c r="E130" s="236"/>
      <c r="F130" s="236"/>
      <c r="G130" s="236"/>
      <c r="H130" s="236"/>
      <c r="J130" s="44"/>
    </row>
    <row r="131" spans="1:17" s="46" customFormat="1" ht="65.25" customHeight="1" x14ac:dyDescent="0.25">
      <c r="A131" s="45"/>
      <c r="B131" s="237" t="s">
        <v>861</v>
      </c>
      <c r="C131" s="237"/>
      <c r="D131" s="237"/>
      <c r="E131" s="237"/>
      <c r="F131" s="237"/>
      <c r="G131" s="237"/>
      <c r="H131" s="237"/>
      <c r="I131"/>
      <c r="J131" s="44"/>
      <c r="K131"/>
      <c r="L131"/>
      <c r="M131"/>
      <c r="N131"/>
      <c r="O131"/>
      <c r="P131"/>
      <c r="Q131"/>
    </row>
    <row r="132" spans="1:17" x14ac:dyDescent="0.2">
      <c r="A132" s="42"/>
      <c r="B132" s="236" t="s">
        <v>862</v>
      </c>
      <c r="C132" s="236"/>
      <c r="D132" s="236"/>
      <c r="E132" s="236"/>
      <c r="F132" s="236"/>
      <c r="G132" s="236"/>
      <c r="H132" s="236"/>
      <c r="J132" s="44"/>
    </row>
    <row r="133" spans="1:17" x14ac:dyDescent="0.2">
      <c r="A133" s="47"/>
      <c r="B133" s="47"/>
      <c r="C133" s="47"/>
      <c r="D133" s="48"/>
      <c r="E133" s="48"/>
      <c r="F133" s="48"/>
      <c r="G133" s="48"/>
    </row>
    <row r="134" spans="1:17" x14ac:dyDescent="0.2">
      <c r="A134" s="47"/>
      <c r="B134" s="233" t="s">
        <v>173</v>
      </c>
      <c r="C134" s="234"/>
      <c r="D134" s="235"/>
      <c r="E134" s="49"/>
      <c r="F134" s="48"/>
      <c r="G134" s="48"/>
    </row>
    <row r="135" spans="1:17" ht="29.25" customHeight="1" x14ac:dyDescent="0.2">
      <c r="A135" s="47"/>
      <c r="B135" s="231" t="s">
        <v>174</v>
      </c>
      <c r="C135" s="232"/>
      <c r="D135" s="26" t="s">
        <v>175</v>
      </c>
      <c r="E135" s="49"/>
      <c r="F135" s="48"/>
      <c r="G135" s="48"/>
    </row>
    <row r="136" spans="1:17" x14ac:dyDescent="0.2">
      <c r="A136" s="47"/>
      <c r="B136" s="231" t="s">
        <v>863</v>
      </c>
      <c r="C136" s="232"/>
      <c r="D136" s="26" t="s">
        <v>175</v>
      </c>
      <c r="E136" s="49"/>
      <c r="F136" s="48"/>
      <c r="G136" s="48"/>
    </row>
    <row r="137" spans="1:17" x14ac:dyDescent="0.2">
      <c r="A137" s="47"/>
      <c r="B137" s="231" t="s">
        <v>176</v>
      </c>
      <c r="C137" s="232"/>
      <c r="D137" s="35" t="s">
        <v>146</v>
      </c>
      <c r="E137" s="49"/>
      <c r="F137" s="48"/>
      <c r="G137" s="48"/>
    </row>
    <row r="138" spans="1:17" x14ac:dyDescent="0.2">
      <c r="A138" s="53"/>
      <c r="B138" s="54" t="s">
        <v>146</v>
      </c>
      <c r="C138" s="54" t="s">
        <v>864</v>
      </c>
      <c r="D138" s="54" t="s">
        <v>177</v>
      </c>
      <c r="E138" s="53"/>
      <c r="F138" s="53"/>
      <c r="G138" s="53"/>
      <c r="H138" s="53"/>
      <c r="J138" s="44"/>
    </row>
    <row r="139" spans="1:17" x14ac:dyDescent="0.2">
      <c r="A139" s="53"/>
      <c r="B139" s="55" t="s">
        <v>178</v>
      </c>
      <c r="C139" s="56">
        <v>45657</v>
      </c>
      <c r="D139" s="56">
        <v>45688</v>
      </c>
      <c r="E139" s="53"/>
      <c r="F139" s="53"/>
      <c r="G139" s="53"/>
      <c r="J139" s="44"/>
    </row>
    <row r="140" spans="1:17" x14ac:dyDescent="0.2">
      <c r="A140" s="57"/>
      <c r="B140" s="28" t="s">
        <v>179</v>
      </c>
      <c r="C140" s="58">
        <v>35.180100000000003</v>
      </c>
      <c r="D140" s="58">
        <v>34.070599999999999</v>
      </c>
      <c r="E140" s="57"/>
      <c r="F140" s="59"/>
      <c r="G140" s="60"/>
    </row>
    <row r="141" spans="1:17" x14ac:dyDescent="0.2">
      <c r="A141" s="57"/>
      <c r="B141" s="28" t="s">
        <v>1025</v>
      </c>
      <c r="C141" s="58">
        <v>24.145900000000001</v>
      </c>
      <c r="D141" s="58">
        <v>23.384399999999999</v>
      </c>
      <c r="E141" s="57"/>
      <c r="F141" s="59"/>
      <c r="G141" s="60"/>
    </row>
    <row r="142" spans="1:17" x14ac:dyDescent="0.2">
      <c r="A142" s="57"/>
      <c r="B142" s="28" t="s">
        <v>180</v>
      </c>
      <c r="C142" s="58">
        <v>32.698900000000002</v>
      </c>
      <c r="D142" s="58">
        <v>31.636900000000001</v>
      </c>
      <c r="E142" s="57"/>
      <c r="F142" s="59"/>
      <c r="G142" s="60"/>
    </row>
    <row r="143" spans="1:17" x14ac:dyDescent="0.2">
      <c r="A143" s="57"/>
      <c r="B143" s="28" t="s">
        <v>1026</v>
      </c>
      <c r="C143" s="58">
        <v>22.418500000000002</v>
      </c>
      <c r="D143" s="58">
        <v>21.690300000000001</v>
      </c>
      <c r="E143" s="57"/>
      <c r="F143" s="59"/>
      <c r="G143" s="60"/>
    </row>
    <row r="144" spans="1:17" x14ac:dyDescent="0.2">
      <c r="A144" s="57"/>
      <c r="B144" s="57"/>
      <c r="C144" s="57"/>
      <c r="D144" s="57"/>
      <c r="E144" s="57"/>
      <c r="F144" s="57"/>
      <c r="G144" s="57"/>
    </row>
    <row r="145" spans="1:8" x14ac:dyDescent="0.2">
      <c r="A145" s="53"/>
      <c r="B145" s="227" t="s">
        <v>865</v>
      </c>
      <c r="C145" s="228"/>
      <c r="D145" s="50" t="s">
        <v>175</v>
      </c>
      <c r="E145" s="53"/>
      <c r="F145" s="53"/>
      <c r="G145" s="53"/>
    </row>
    <row r="146" spans="1:8" x14ac:dyDescent="0.2">
      <c r="A146" s="53"/>
      <c r="B146" s="74"/>
      <c r="C146" s="74"/>
      <c r="D146" s="74"/>
      <c r="E146" s="53"/>
      <c r="F146" s="53"/>
      <c r="G146" s="53"/>
    </row>
    <row r="147" spans="1:8" ht="29.1" customHeight="1" x14ac:dyDescent="0.2">
      <c r="A147" s="53"/>
      <c r="B147" s="227" t="s">
        <v>181</v>
      </c>
      <c r="C147" s="228"/>
      <c r="D147" s="50" t="s">
        <v>1095</v>
      </c>
      <c r="E147" s="53"/>
      <c r="F147" s="53"/>
      <c r="G147" s="53"/>
      <c r="H147" s="53"/>
    </row>
    <row r="148" spans="1:8" ht="29.1" customHeight="1" x14ac:dyDescent="0.2">
      <c r="A148" s="53"/>
      <c r="B148" s="227" t="s">
        <v>182</v>
      </c>
      <c r="C148" s="228"/>
      <c r="D148" s="135" t="str">
        <f>"Rs. "&amp;TEXT(F62,"0.00")&amp;" Lacs"</f>
        <v>Rs. 3581.39 Lacs</v>
      </c>
      <c r="E148" s="64"/>
      <c r="F148" s="53"/>
      <c r="G148" s="53"/>
      <c r="H148" s="53"/>
    </row>
    <row r="149" spans="1:8" ht="17.100000000000001" customHeight="1" x14ac:dyDescent="0.2">
      <c r="A149" s="53"/>
      <c r="B149" s="227" t="s">
        <v>183</v>
      </c>
      <c r="C149" s="228"/>
      <c r="D149" s="50" t="s">
        <v>175</v>
      </c>
      <c r="E149" s="64"/>
      <c r="F149" s="53"/>
      <c r="G149" s="53"/>
      <c r="H149" s="53"/>
    </row>
    <row r="150" spans="1:8" ht="17.100000000000001" customHeight="1" x14ac:dyDescent="0.2">
      <c r="A150" s="53"/>
      <c r="B150" s="227" t="s">
        <v>184</v>
      </c>
      <c r="C150" s="228"/>
      <c r="D150" s="65">
        <v>0.9878347031984791</v>
      </c>
      <c r="E150" s="53"/>
      <c r="F150" s="43"/>
      <c r="G150" s="63"/>
      <c r="H150" s="63"/>
    </row>
    <row r="152" spans="1:8" x14ac:dyDescent="0.2">
      <c r="B152" s="229" t="s">
        <v>866</v>
      </c>
      <c r="C152" s="229"/>
    </row>
    <row r="154" spans="1:8" ht="153.75" customHeight="1" x14ac:dyDescent="0.2"/>
    <row r="157" spans="1:8" x14ac:dyDescent="0.2">
      <c r="B157" s="66" t="s">
        <v>867</v>
      </c>
      <c r="C157" s="67"/>
      <c r="D157" s="66" t="s">
        <v>870</v>
      </c>
    </row>
    <row r="158" spans="1:8" x14ac:dyDescent="0.2">
      <c r="B158" s="66" t="s">
        <v>1011</v>
      </c>
      <c r="D158" s="66" t="s">
        <v>1012</v>
      </c>
    </row>
    <row r="159" spans="1:8" x14ac:dyDescent="0.2">
      <c r="B159" s="136"/>
    </row>
    <row r="160" spans="1:8" ht="165" customHeight="1" x14ac:dyDescent="0.2"/>
    <row r="161" customFormat="1" x14ac:dyDescent="0.2"/>
    <row r="162" customFormat="1" x14ac:dyDescent="0.2"/>
    <row r="163" customFormat="1" x14ac:dyDescent="0.2"/>
    <row r="164" customFormat="1" x14ac:dyDescent="0.2"/>
    <row r="165" customFormat="1" x14ac:dyDescent="0.2"/>
  </sheetData>
  <mergeCells count="18">
    <mergeCell ref="A1:H1"/>
    <mergeCell ref="A2:H2"/>
    <mergeCell ref="A3:H3"/>
    <mergeCell ref="B136:C136"/>
    <mergeCell ref="B137:C137"/>
    <mergeCell ref="B134:D134"/>
    <mergeCell ref="B135:C135"/>
    <mergeCell ref="B128:H128"/>
    <mergeCell ref="B129:H129"/>
    <mergeCell ref="B130:H130"/>
    <mergeCell ref="B131:H131"/>
    <mergeCell ref="B132:H132"/>
    <mergeCell ref="B147:C147"/>
    <mergeCell ref="B148:C148"/>
    <mergeCell ref="B152:C152"/>
    <mergeCell ref="B145:C145"/>
    <mergeCell ref="B149:C149"/>
    <mergeCell ref="B150:C150"/>
  </mergeCells>
  <hyperlinks>
    <hyperlink ref="I1" location="Index!B2" display="Index" xr:uid="{44E7A73E-1905-4CB9-AA6C-97BE9A5AD13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3398E-706C-453F-9E96-0692DE161F1F}">
  <sheetPr>
    <outlinePr summaryBelow="0" summaryRight="0"/>
  </sheetPr>
  <dimension ref="A1:Q166"/>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42578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824</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327</v>
      </c>
      <c r="C7" s="28" t="s">
        <v>328</v>
      </c>
      <c r="D7" s="28" t="s">
        <v>33</v>
      </c>
      <c r="E7" s="29">
        <v>724000</v>
      </c>
      <c r="F7" s="30">
        <v>12298.95</v>
      </c>
      <c r="G7" s="31">
        <v>8.3783460000000004E-2</v>
      </c>
      <c r="H7" s="24" t="s">
        <v>146</v>
      </c>
    </row>
    <row r="8" spans="1:9" x14ac:dyDescent="0.2">
      <c r="A8" s="27">
        <v>2</v>
      </c>
      <c r="B8" s="28" t="s">
        <v>31</v>
      </c>
      <c r="C8" s="28" t="s">
        <v>32</v>
      </c>
      <c r="D8" s="28" t="s">
        <v>33</v>
      </c>
      <c r="E8" s="29">
        <v>883000</v>
      </c>
      <c r="F8" s="30">
        <v>11062.224</v>
      </c>
      <c r="G8" s="31">
        <v>7.5358579999999994E-2</v>
      </c>
      <c r="H8" s="24" t="s">
        <v>146</v>
      </c>
    </row>
    <row r="9" spans="1:9" x14ac:dyDescent="0.2">
      <c r="A9" s="27">
        <v>3</v>
      </c>
      <c r="B9" s="28" t="s">
        <v>329</v>
      </c>
      <c r="C9" s="28" t="s">
        <v>330</v>
      </c>
      <c r="D9" s="28" t="s">
        <v>195</v>
      </c>
      <c r="E9" s="29">
        <v>364000</v>
      </c>
      <c r="F9" s="30">
        <v>6842.4719999999998</v>
      </c>
      <c r="G9" s="31">
        <v>4.6612599999999997E-2</v>
      </c>
      <c r="H9" s="24" t="s">
        <v>146</v>
      </c>
    </row>
    <row r="10" spans="1:9" x14ac:dyDescent="0.2">
      <c r="A10" s="27">
        <v>4</v>
      </c>
      <c r="B10" s="28" t="s">
        <v>14</v>
      </c>
      <c r="C10" s="28" t="s">
        <v>15</v>
      </c>
      <c r="D10" s="28" t="s">
        <v>16</v>
      </c>
      <c r="E10" s="29">
        <v>504000</v>
      </c>
      <c r="F10" s="30">
        <v>6376.1040000000003</v>
      </c>
      <c r="G10" s="31">
        <v>4.3435590000000003E-2</v>
      </c>
      <c r="H10" s="24" t="s">
        <v>146</v>
      </c>
    </row>
    <row r="11" spans="1:9" x14ac:dyDescent="0.2">
      <c r="A11" s="27">
        <v>5</v>
      </c>
      <c r="B11" s="28" t="s">
        <v>11</v>
      </c>
      <c r="C11" s="28" t="s">
        <v>12</v>
      </c>
      <c r="D11" s="28" t="s">
        <v>13</v>
      </c>
      <c r="E11" s="29">
        <v>156446</v>
      </c>
      <c r="F11" s="30">
        <v>5581.0546039999999</v>
      </c>
      <c r="G11" s="31">
        <v>3.8019509999999999E-2</v>
      </c>
      <c r="H11" s="24" t="s">
        <v>146</v>
      </c>
    </row>
    <row r="12" spans="1:9" x14ac:dyDescent="0.2">
      <c r="A12" s="27">
        <v>6</v>
      </c>
      <c r="B12" s="28" t="s">
        <v>17</v>
      </c>
      <c r="C12" s="28" t="s">
        <v>18</v>
      </c>
      <c r="D12" s="28" t="s">
        <v>19</v>
      </c>
      <c r="E12" s="29">
        <v>304000</v>
      </c>
      <c r="F12" s="30">
        <v>4943.9520000000002</v>
      </c>
      <c r="G12" s="31">
        <v>3.367941E-2</v>
      </c>
      <c r="H12" s="24" t="s">
        <v>146</v>
      </c>
    </row>
    <row r="13" spans="1:9" x14ac:dyDescent="0.2">
      <c r="A13" s="27">
        <v>7</v>
      </c>
      <c r="B13" s="28" t="s">
        <v>335</v>
      </c>
      <c r="C13" s="28" t="s">
        <v>336</v>
      </c>
      <c r="D13" s="28" t="s">
        <v>195</v>
      </c>
      <c r="E13" s="29">
        <v>114734</v>
      </c>
      <c r="F13" s="30">
        <v>4718.3210159999999</v>
      </c>
      <c r="G13" s="31">
        <v>3.2142360000000002E-2</v>
      </c>
      <c r="H13" s="24" t="s">
        <v>146</v>
      </c>
    </row>
    <row r="14" spans="1:9" x14ac:dyDescent="0.2">
      <c r="A14" s="27">
        <v>8</v>
      </c>
      <c r="B14" s="28" t="s">
        <v>48</v>
      </c>
      <c r="C14" s="28" t="s">
        <v>49</v>
      </c>
      <c r="D14" s="28" t="s">
        <v>33</v>
      </c>
      <c r="E14" s="29">
        <v>545000</v>
      </c>
      <c r="F14" s="30">
        <v>4212.3050000000003</v>
      </c>
      <c r="G14" s="31">
        <v>2.869526E-2</v>
      </c>
      <c r="H14" s="24" t="s">
        <v>146</v>
      </c>
    </row>
    <row r="15" spans="1:9" x14ac:dyDescent="0.2">
      <c r="A15" s="27">
        <v>9</v>
      </c>
      <c r="B15" s="28" t="s">
        <v>339</v>
      </c>
      <c r="C15" s="28" t="s">
        <v>340</v>
      </c>
      <c r="D15" s="28" t="s">
        <v>33</v>
      </c>
      <c r="E15" s="29">
        <v>419000</v>
      </c>
      <c r="F15" s="30">
        <v>4131.759</v>
      </c>
      <c r="G15" s="31">
        <v>2.8146560000000001E-2</v>
      </c>
      <c r="H15" s="24" t="s">
        <v>146</v>
      </c>
    </row>
    <row r="16" spans="1:9" ht="25.5" x14ac:dyDescent="0.2">
      <c r="A16" s="27">
        <v>10</v>
      </c>
      <c r="B16" s="28" t="s">
        <v>23</v>
      </c>
      <c r="C16" s="28" t="s">
        <v>24</v>
      </c>
      <c r="D16" s="28" t="s">
        <v>25</v>
      </c>
      <c r="E16" s="29">
        <v>32000</v>
      </c>
      <c r="F16" s="30">
        <v>3675.9839999999999</v>
      </c>
      <c r="G16" s="31">
        <v>2.5041709999999998E-2</v>
      </c>
      <c r="H16" s="24" t="s">
        <v>146</v>
      </c>
    </row>
    <row r="17" spans="1:8" x14ac:dyDescent="0.2">
      <c r="A17" s="27">
        <v>11</v>
      </c>
      <c r="B17" s="28" t="s">
        <v>78</v>
      </c>
      <c r="C17" s="28" t="s">
        <v>79</v>
      </c>
      <c r="D17" s="28" t="s">
        <v>80</v>
      </c>
      <c r="E17" s="29">
        <v>83000</v>
      </c>
      <c r="F17" s="30">
        <v>3589.2105000000001</v>
      </c>
      <c r="G17" s="31">
        <v>2.445058E-2</v>
      </c>
      <c r="H17" s="24" t="s">
        <v>146</v>
      </c>
    </row>
    <row r="18" spans="1:8" ht="25.5" x14ac:dyDescent="0.2">
      <c r="A18" s="27">
        <v>12</v>
      </c>
      <c r="B18" s="28" t="s">
        <v>337</v>
      </c>
      <c r="C18" s="28" t="s">
        <v>338</v>
      </c>
      <c r="D18" s="28" t="s">
        <v>198</v>
      </c>
      <c r="E18" s="29">
        <v>186000</v>
      </c>
      <c r="F18" s="30">
        <v>3243.7469999999998</v>
      </c>
      <c r="G18" s="31">
        <v>2.2097200000000001E-2</v>
      </c>
      <c r="H18" s="24" t="s">
        <v>146</v>
      </c>
    </row>
    <row r="19" spans="1:8" x14ac:dyDescent="0.2">
      <c r="A19" s="27">
        <v>13</v>
      </c>
      <c r="B19" s="28" t="s">
        <v>347</v>
      </c>
      <c r="C19" s="28" t="s">
        <v>348</v>
      </c>
      <c r="D19" s="28" t="s">
        <v>349</v>
      </c>
      <c r="E19" s="29">
        <v>670000</v>
      </c>
      <c r="F19" s="30">
        <v>2998.25</v>
      </c>
      <c r="G19" s="31">
        <v>2.0424810000000002E-2</v>
      </c>
      <c r="H19" s="24" t="s">
        <v>146</v>
      </c>
    </row>
    <row r="20" spans="1:8" x14ac:dyDescent="0.2">
      <c r="A20" s="27">
        <v>14</v>
      </c>
      <c r="B20" s="28" t="s">
        <v>441</v>
      </c>
      <c r="C20" s="28" t="s">
        <v>442</v>
      </c>
      <c r="D20" s="28" t="s">
        <v>349</v>
      </c>
      <c r="E20" s="29">
        <v>114000</v>
      </c>
      <c r="F20" s="30">
        <v>2814.4319999999998</v>
      </c>
      <c r="G20" s="31">
        <v>1.9172600000000001E-2</v>
      </c>
      <c r="H20" s="24" t="s">
        <v>146</v>
      </c>
    </row>
    <row r="21" spans="1:8" x14ac:dyDescent="0.2">
      <c r="A21" s="27">
        <v>15</v>
      </c>
      <c r="B21" s="28" t="s">
        <v>448</v>
      </c>
      <c r="C21" s="28" t="s">
        <v>449</v>
      </c>
      <c r="D21" s="28" t="s">
        <v>33</v>
      </c>
      <c r="E21" s="29">
        <v>252000</v>
      </c>
      <c r="F21" s="30">
        <v>2497.8240000000001</v>
      </c>
      <c r="G21" s="31">
        <v>1.7015789999999999E-2</v>
      </c>
      <c r="H21" s="24" t="s">
        <v>146</v>
      </c>
    </row>
    <row r="22" spans="1:8" x14ac:dyDescent="0.2">
      <c r="A22" s="27">
        <v>16</v>
      </c>
      <c r="B22" s="28" t="s">
        <v>234</v>
      </c>
      <c r="C22" s="28" t="s">
        <v>235</v>
      </c>
      <c r="D22" s="28" t="s">
        <v>205</v>
      </c>
      <c r="E22" s="29">
        <v>31000</v>
      </c>
      <c r="F22" s="30">
        <v>2394.3470000000002</v>
      </c>
      <c r="G22" s="31">
        <v>1.631088E-2</v>
      </c>
      <c r="H22" s="24" t="s">
        <v>146</v>
      </c>
    </row>
    <row r="23" spans="1:8" ht="25.5" x14ac:dyDescent="0.2">
      <c r="A23" s="27">
        <v>17</v>
      </c>
      <c r="B23" s="28" t="s">
        <v>361</v>
      </c>
      <c r="C23" s="28" t="s">
        <v>362</v>
      </c>
      <c r="D23" s="28" t="s">
        <v>120</v>
      </c>
      <c r="E23" s="29">
        <v>181078</v>
      </c>
      <c r="F23" s="30">
        <v>2328.3914629999999</v>
      </c>
      <c r="G23" s="31">
        <v>1.5861569999999998E-2</v>
      </c>
      <c r="H23" s="24" t="s">
        <v>146</v>
      </c>
    </row>
    <row r="24" spans="1:8" x14ac:dyDescent="0.2">
      <c r="A24" s="27">
        <v>18</v>
      </c>
      <c r="B24" s="28" t="s">
        <v>530</v>
      </c>
      <c r="C24" s="28" t="s">
        <v>531</v>
      </c>
      <c r="D24" s="28" t="s">
        <v>195</v>
      </c>
      <c r="E24" s="29">
        <v>139000</v>
      </c>
      <c r="F24" s="30">
        <v>2327.4854999999998</v>
      </c>
      <c r="G24" s="31">
        <v>1.5855399999999999E-2</v>
      </c>
      <c r="H24" s="24" t="s">
        <v>146</v>
      </c>
    </row>
    <row r="25" spans="1:8" x14ac:dyDescent="0.2">
      <c r="A25" s="27">
        <v>19</v>
      </c>
      <c r="B25" s="28" t="s">
        <v>680</v>
      </c>
      <c r="C25" s="28" t="s">
        <v>681</v>
      </c>
      <c r="D25" s="28" t="s">
        <v>39</v>
      </c>
      <c r="E25" s="29">
        <v>126229</v>
      </c>
      <c r="F25" s="30">
        <v>2294.2751895000001</v>
      </c>
      <c r="G25" s="31">
        <v>1.5629170000000001E-2</v>
      </c>
      <c r="H25" s="24" t="s">
        <v>146</v>
      </c>
    </row>
    <row r="26" spans="1:8" ht="25.5" x14ac:dyDescent="0.2">
      <c r="A26" s="27">
        <v>20</v>
      </c>
      <c r="B26" s="28" t="s">
        <v>367</v>
      </c>
      <c r="C26" s="28" t="s">
        <v>368</v>
      </c>
      <c r="D26" s="28" t="s">
        <v>198</v>
      </c>
      <c r="E26" s="29">
        <v>193000</v>
      </c>
      <c r="F26" s="30">
        <v>2261.7669999999998</v>
      </c>
      <c r="G26" s="31">
        <v>1.540771E-2</v>
      </c>
      <c r="H26" s="24" t="s">
        <v>146</v>
      </c>
    </row>
    <row r="27" spans="1:8" x14ac:dyDescent="0.2">
      <c r="A27" s="27">
        <v>21</v>
      </c>
      <c r="B27" s="28" t="s">
        <v>526</v>
      </c>
      <c r="C27" s="28" t="s">
        <v>527</v>
      </c>
      <c r="D27" s="28" t="s">
        <v>275</v>
      </c>
      <c r="E27" s="29">
        <v>18000</v>
      </c>
      <c r="F27" s="30">
        <v>2215.9169999999999</v>
      </c>
      <c r="G27" s="31">
        <v>1.509537E-2</v>
      </c>
      <c r="H27" s="24" t="s">
        <v>146</v>
      </c>
    </row>
    <row r="28" spans="1:8" x14ac:dyDescent="0.2">
      <c r="A28" s="27">
        <v>22</v>
      </c>
      <c r="B28" s="28" t="s">
        <v>695</v>
      </c>
      <c r="C28" s="28" t="s">
        <v>696</v>
      </c>
      <c r="D28" s="28" t="s">
        <v>233</v>
      </c>
      <c r="E28" s="29">
        <v>34000</v>
      </c>
      <c r="F28" s="30">
        <v>2115.2759999999998</v>
      </c>
      <c r="G28" s="31">
        <v>1.4409780000000001E-2</v>
      </c>
      <c r="H28" s="24" t="s">
        <v>146</v>
      </c>
    </row>
    <row r="29" spans="1:8" x14ac:dyDescent="0.2">
      <c r="A29" s="27">
        <v>23</v>
      </c>
      <c r="B29" s="28" t="s">
        <v>221</v>
      </c>
      <c r="C29" s="28" t="s">
        <v>222</v>
      </c>
      <c r="D29" s="28" t="s">
        <v>223</v>
      </c>
      <c r="E29" s="29">
        <v>284000</v>
      </c>
      <c r="F29" s="30">
        <v>1999.076</v>
      </c>
      <c r="G29" s="31">
        <v>1.36182E-2</v>
      </c>
      <c r="H29" s="24" t="s">
        <v>146</v>
      </c>
    </row>
    <row r="30" spans="1:8" x14ac:dyDescent="0.2">
      <c r="A30" s="27">
        <v>24</v>
      </c>
      <c r="B30" s="28" t="s">
        <v>805</v>
      </c>
      <c r="C30" s="28" t="s">
        <v>806</v>
      </c>
      <c r="D30" s="28" t="s">
        <v>39</v>
      </c>
      <c r="E30" s="29">
        <v>144000</v>
      </c>
      <c r="F30" s="30">
        <v>1867.3920000000001</v>
      </c>
      <c r="G30" s="31">
        <v>1.2721130000000001E-2</v>
      </c>
      <c r="H30" s="24" t="s">
        <v>146</v>
      </c>
    </row>
    <row r="31" spans="1:8" x14ac:dyDescent="0.2">
      <c r="A31" s="27">
        <v>25</v>
      </c>
      <c r="B31" s="28" t="s">
        <v>333</v>
      </c>
      <c r="C31" s="28" t="s">
        <v>334</v>
      </c>
      <c r="D31" s="28" t="s">
        <v>33</v>
      </c>
      <c r="E31" s="29">
        <v>96000</v>
      </c>
      <c r="F31" s="30">
        <v>1825.248</v>
      </c>
      <c r="G31" s="31">
        <v>1.243404E-2</v>
      </c>
      <c r="H31" s="24" t="s">
        <v>146</v>
      </c>
    </row>
    <row r="32" spans="1:8" x14ac:dyDescent="0.2">
      <c r="A32" s="27">
        <v>26</v>
      </c>
      <c r="B32" s="28" t="s">
        <v>463</v>
      </c>
      <c r="C32" s="28" t="s">
        <v>464</v>
      </c>
      <c r="D32" s="28" t="s">
        <v>120</v>
      </c>
      <c r="E32" s="29">
        <v>205940</v>
      </c>
      <c r="F32" s="30">
        <v>1808.5650800000001</v>
      </c>
      <c r="G32" s="31">
        <v>1.2320390000000001E-2</v>
      </c>
      <c r="H32" s="24" t="s">
        <v>146</v>
      </c>
    </row>
    <row r="33" spans="1:8" ht="25.5" x14ac:dyDescent="0.2">
      <c r="A33" s="27">
        <v>27</v>
      </c>
      <c r="B33" s="28" t="s">
        <v>443</v>
      </c>
      <c r="C33" s="28" t="s">
        <v>444</v>
      </c>
      <c r="D33" s="28" t="s">
        <v>218</v>
      </c>
      <c r="E33" s="29">
        <v>169962</v>
      </c>
      <c r="F33" s="30">
        <v>1741.515633</v>
      </c>
      <c r="G33" s="31">
        <v>1.186363E-2</v>
      </c>
      <c r="H33" s="24" t="s">
        <v>146</v>
      </c>
    </row>
    <row r="34" spans="1:8" x14ac:dyDescent="0.2">
      <c r="A34" s="27">
        <v>28</v>
      </c>
      <c r="B34" s="28" t="s">
        <v>644</v>
      </c>
      <c r="C34" s="28" t="s">
        <v>645</v>
      </c>
      <c r="D34" s="28" t="s">
        <v>120</v>
      </c>
      <c r="E34" s="29">
        <v>22000</v>
      </c>
      <c r="F34" s="30">
        <v>1734.722</v>
      </c>
      <c r="G34" s="31">
        <v>1.1817350000000001E-2</v>
      </c>
      <c r="H34" s="24" t="s">
        <v>146</v>
      </c>
    </row>
    <row r="35" spans="1:8" x14ac:dyDescent="0.2">
      <c r="A35" s="27">
        <v>29</v>
      </c>
      <c r="B35" s="28" t="s">
        <v>186</v>
      </c>
      <c r="C35" s="28" t="s">
        <v>187</v>
      </c>
      <c r="D35" s="28" t="s">
        <v>33</v>
      </c>
      <c r="E35" s="29">
        <v>923000</v>
      </c>
      <c r="F35" s="30">
        <v>1727.9483</v>
      </c>
      <c r="G35" s="31">
        <v>1.1771210000000001E-2</v>
      </c>
      <c r="H35" s="24" t="s">
        <v>146</v>
      </c>
    </row>
    <row r="36" spans="1:8" x14ac:dyDescent="0.2">
      <c r="A36" s="27">
        <v>30</v>
      </c>
      <c r="B36" s="28" t="s">
        <v>363</v>
      </c>
      <c r="C36" s="28" t="s">
        <v>364</v>
      </c>
      <c r="D36" s="28" t="s">
        <v>39</v>
      </c>
      <c r="E36" s="29">
        <v>49000</v>
      </c>
      <c r="F36" s="30">
        <v>1710.2225000000001</v>
      </c>
      <c r="G36" s="31">
        <v>1.165046E-2</v>
      </c>
      <c r="H36" s="24" t="s">
        <v>146</v>
      </c>
    </row>
    <row r="37" spans="1:8" x14ac:dyDescent="0.2">
      <c r="A37" s="27">
        <v>31</v>
      </c>
      <c r="B37" s="28" t="s">
        <v>224</v>
      </c>
      <c r="C37" s="28" t="s">
        <v>225</v>
      </c>
      <c r="D37" s="28" t="s">
        <v>226</v>
      </c>
      <c r="E37" s="29">
        <v>79000</v>
      </c>
      <c r="F37" s="30">
        <v>1695.34</v>
      </c>
      <c r="G37" s="31">
        <v>1.154907E-2</v>
      </c>
      <c r="H37" s="24" t="s">
        <v>146</v>
      </c>
    </row>
    <row r="38" spans="1:8" ht="25.5" x14ac:dyDescent="0.2">
      <c r="A38" s="27">
        <v>32</v>
      </c>
      <c r="B38" s="28" t="s">
        <v>437</v>
      </c>
      <c r="C38" s="28" t="s">
        <v>438</v>
      </c>
      <c r="D38" s="28" t="s">
        <v>198</v>
      </c>
      <c r="E38" s="29">
        <v>109000</v>
      </c>
      <c r="F38" s="30">
        <v>1612.546</v>
      </c>
      <c r="G38" s="31">
        <v>1.098506E-2</v>
      </c>
      <c r="H38" s="24" t="s">
        <v>146</v>
      </c>
    </row>
    <row r="39" spans="1:8" x14ac:dyDescent="0.2">
      <c r="A39" s="27">
        <v>33</v>
      </c>
      <c r="B39" s="28" t="s">
        <v>807</v>
      </c>
      <c r="C39" s="28" t="s">
        <v>808</v>
      </c>
      <c r="D39" s="28" t="s">
        <v>205</v>
      </c>
      <c r="E39" s="29">
        <v>381140</v>
      </c>
      <c r="F39" s="30">
        <v>1585.92354</v>
      </c>
      <c r="G39" s="31">
        <v>1.0803699999999999E-2</v>
      </c>
      <c r="H39" s="24" t="s">
        <v>146</v>
      </c>
    </row>
    <row r="40" spans="1:8" x14ac:dyDescent="0.2">
      <c r="A40" s="27">
        <v>34</v>
      </c>
      <c r="B40" s="28" t="s">
        <v>357</v>
      </c>
      <c r="C40" s="28" t="s">
        <v>358</v>
      </c>
      <c r="D40" s="28" t="s">
        <v>275</v>
      </c>
      <c r="E40" s="29">
        <v>219000</v>
      </c>
      <c r="F40" s="30">
        <v>1568.259</v>
      </c>
      <c r="G40" s="31">
        <v>1.0683369999999999E-2</v>
      </c>
      <c r="H40" s="24" t="s">
        <v>146</v>
      </c>
    </row>
    <row r="41" spans="1:8" x14ac:dyDescent="0.2">
      <c r="A41" s="27">
        <v>35</v>
      </c>
      <c r="B41" s="28" t="s">
        <v>125</v>
      </c>
      <c r="C41" s="28" t="s">
        <v>126</v>
      </c>
      <c r="D41" s="28" t="s">
        <v>80</v>
      </c>
      <c r="E41" s="29">
        <v>475000</v>
      </c>
      <c r="F41" s="30">
        <v>1524.9875</v>
      </c>
      <c r="G41" s="31">
        <v>1.038859E-2</v>
      </c>
      <c r="H41" s="24" t="s">
        <v>146</v>
      </c>
    </row>
    <row r="42" spans="1:8" x14ac:dyDescent="0.2">
      <c r="A42" s="27">
        <v>36</v>
      </c>
      <c r="B42" s="28" t="s">
        <v>331</v>
      </c>
      <c r="C42" s="28" t="s">
        <v>332</v>
      </c>
      <c r="D42" s="28" t="s">
        <v>205</v>
      </c>
      <c r="E42" s="29">
        <v>631000</v>
      </c>
      <c r="F42" s="30">
        <v>1390.4085</v>
      </c>
      <c r="G42" s="31">
        <v>9.4718000000000007E-3</v>
      </c>
      <c r="H42" s="24" t="s">
        <v>146</v>
      </c>
    </row>
    <row r="43" spans="1:8" x14ac:dyDescent="0.2">
      <c r="A43" s="27">
        <v>37</v>
      </c>
      <c r="B43" s="28" t="s">
        <v>524</v>
      </c>
      <c r="C43" s="28" t="s">
        <v>525</v>
      </c>
      <c r="D43" s="28" t="s">
        <v>226</v>
      </c>
      <c r="E43" s="29">
        <v>96000</v>
      </c>
      <c r="F43" s="30">
        <v>1367.04</v>
      </c>
      <c r="G43" s="31">
        <v>9.3126100000000007E-3</v>
      </c>
      <c r="H43" s="24" t="s">
        <v>146</v>
      </c>
    </row>
    <row r="44" spans="1:8" x14ac:dyDescent="0.2">
      <c r="A44" s="27">
        <v>38</v>
      </c>
      <c r="B44" s="28" t="s">
        <v>738</v>
      </c>
      <c r="C44" s="28" t="s">
        <v>739</v>
      </c>
      <c r="D44" s="28" t="s">
        <v>208</v>
      </c>
      <c r="E44" s="29">
        <v>76000</v>
      </c>
      <c r="F44" s="30">
        <v>1365.644</v>
      </c>
      <c r="G44" s="31">
        <v>9.3030999999999999E-3</v>
      </c>
      <c r="H44" s="24" t="s">
        <v>146</v>
      </c>
    </row>
    <row r="45" spans="1:8" ht="25.5" x14ac:dyDescent="0.2">
      <c r="A45" s="27">
        <v>39</v>
      </c>
      <c r="B45" s="28" t="s">
        <v>121</v>
      </c>
      <c r="C45" s="28" t="s">
        <v>122</v>
      </c>
      <c r="D45" s="28" t="s">
        <v>96</v>
      </c>
      <c r="E45" s="29">
        <v>213000</v>
      </c>
      <c r="F45" s="30">
        <v>1345.308</v>
      </c>
      <c r="G45" s="31">
        <v>9.1645700000000004E-3</v>
      </c>
      <c r="H45" s="24" t="s">
        <v>146</v>
      </c>
    </row>
    <row r="46" spans="1:8" x14ac:dyDescent="0.2">
      <c r="A46" s="27">
        <v>40</v>
      </c>
      <c r="B46" s="28" t="s">
        <v>106</v>
      </c>
      <c r="C46" s="28" t="s">
        <v>107</v>
      </c>
      <c r="D46" s="28" t="s">
        <v>36</v>
      </c>
      <c r="E46" s="29">
        <v>22000</v>
      </c>
      <c r="F46" s="30">
        <v>1292.423</v>
      </c>
      <c r="G46" s="31">
        <v>8.8042999999999993E-3</v>
      </c>
      <c r="H46" s="24" t="s">
        <v>146</v>
      </c>
    </row>
    <row r="47" spans="1:8" ht="25.5" x14ac:dyDescent="0.2">
      <c r="A47" s="27">
        <v>41</v>
      </c>
      <c r="B47" s="28" t="s">
        <v>773</v>
      </c>
      <c r="C47" s="28" t="s">
        <v>774</v>
      </c>
      <c r="D47" s="28" t="s">
        <v>258</v>
      </c>
      <c r="E47" s="29">
        <v>45000</v>
      </c>
      <c r="F47" s="30">
        <v>1292.2650000000001</v>
      </c>
      <c r="G47" s="31">
        <v>8.8032300000000004E-3</v>
      </c>
      <c r="H47" s="24" t="s">
        <v>146</v>
      </c>
    </row>
    <row r="48" spans="1:8" ht="25.5" x14ac:dyDescent="0.2">
      <c r="A48" s="27">
        <v>42</v>
      </c>
      <c r="B48" s="28" t="s">
        <v>285</v>
      </c>
      <c r="C48" s="28" t="s">
        <v>286</v>
      </c>
      <c r="D48" s="28" t="s">
        <v>190</v>
      </c>
      <c r="E48" s="29">
        <v>36000</v>
      </c>
      <c r="F48" s="30">
        <v>1254.1500000000001</v>
      </c>
      <c r="G48" s="31">
        <v>8.5435800000000003E-3</v>
      </c>
      <c r="H48" s="24" t="s">
        <v>146</v>
      </c>
    </row>
    <row r="49" spans="1:8" x14ac:dyDescent="0.2">
      <c r="A49" s="27">
        <v>43</v>
      </c>
      <c r="B49" s="28" t="s">
        <v>20</v>
      </c>
      <c r="C49" s="28" t="s">
        <v>21</v>
      </c>
      <c r="D49" s="28" t="s">
        <v>22</v>
      </c>
      <c r="E49" s="29">
        <v>382000</v>
      </c>
      <c r="F49" s="30">
        <v>1237.68</v>
      </c>
      <c r="G49" s="31">
        <v>8.4313800000000005E-3</v>
      </c>
      <c r="H49" s="24" t="s">
        <v>146</v>
      </c>
    </row>
    <row r="50" spans="1:8" x14ac:dyDescent="0.2">
      <c r="A50" s="27">
        <v>44</v>
      </c>
      <c r="B50" s="28" t="s">
        <v>809</v>
      </c>
      <c r="C50" s="28" t="s">
        <v>810</v>
      </c>
      <c r="D50" s="28" t="s">
        <v>56</v>
      </c>
      <c r="E50" s="29">
        <v>274000</v>
      </c>
      <c r="F50" s="30">
        <v>1152.0329999999999</v>
      </c>
      <c r="G50" s="31">
        <v>7.8479299999999995E-3</v>
      </c>
      <c r="H50" s="24" t="s">
        <v>146</v>
      </c>
    </row>
    <row r="51" spans="1:8" x14ac:dyDescent="0.2">
      <c r="A51" s="27">
        <v>45</v>
      </c>
      <c r="B51" s="28" t="s">
        <v>34</v>
      </c>
      <c r="C51" s="28" t="s">
        <v>35</v>
      </c>
      <c r="D51" s="28" t="s">
        <v>36</v>
      </c>
      <c r="E51" s="29">
        <v>60000</v>
      </c>
      <c r="F51" s="30">
        <v>1072.5</v>
      </c>
      <c r="G51" s="31">
        <v>7.3061300000000001E-3</v>
      </c>
      <c r="H51" s="24" t="s">
        <v>146</v>
      </c>
    </row>
    <row r="52" spans="1:8" x14ac:dyDescent="0.2">
      <c r="A52" s="27">
        <v>46</v>
      </c>
      <c r="B52" s="28" t="s">
        <v>315</v>
      </c>
      <c r="C52" s="28" t="s">
        <v>316</v>
      </c>
      <c r="D52" s="28" t="s">
        <v>39</v>
      </c>
      <c r="E52" s="29">
        <v>103000</v>
      </c>
      <c r="F52" s="30">
        <v>1021.1420000000001</v>
      </c>
      <c r="G52" s="31">
        <v>6.9562699999999996E-3</v>
      </c>
      <c r="H52" s="24" t="s">
        <v>146</v>
      </c>
    </row>
    <row r="53" spans="1:8" ht="25.5" x14ac:dyDescent="0.2">
      <c r="A53" s="27">
        <v>47</v>
      </c>
      <c r="B53" s="28" t="s">
        <v>415</v>
      </c>
      <c r="C53" s="28" t="s">
        <v>416</v>
      </c>
      <c r="D53" s="28" t="s">
        <v>198</v>
      </c>
      <c r="E53" s="29">
        <v>171976</v>
      </c>
      <c r="F53" s="30">
        <v>1004.425828</v>
      </c>
      <c r="G53" s="31">
        <v>6.8424000000000002E-3</v>
      </c>
      <c r="H53" s="24" t="s">
        <v>146</v>
      </c>
    </row>
    <row r="54" spans="1:8" x14ac:dyDescent="0.2">
      <c r="A54" s="27">
        <v>48</v>
      </c>
      <c r="B54" s="28" t="s">
        <v>227</v>
      </c>
      <c r="C54" s="28" t="s">
        <v>228</v>
      </c>
      <c r="D54" s="28" t="s">
        <v>83</v>
      </c>
      <c r="E54" s="29">
        <v>225000</v>
      </c>
      <c r="F54" s="30">
        <v>983.92499999999995</v>
      </c>
      <c r="G54" s="31">
        <v>6.7027399999999996E-3</v>
      </c>
      <c r="H54" s="24" t="s">
        <v>146</v>
      </c>
    </row>
    <row r="55" spans="1:8" x14ac:dyDescent="0.2">
      <c r="A55" s="27">
        <v>49</v>
      </c>
      <c r="B55" s="28" t="s">
        <v>97</v>
      </c>
      <c r="C55" s="28" t="s">
        <v>98</v>
      </c>
      <c r="D55" s="28" t="s">
        <v>99</v>
      </c>
      <c r="E55" s="29">
        <v>498000</v>
      </c>
      <c r="F55" s="30">
        <v>882.05759999999998</v>
      </c>
      <c r="G55" s="31">
        <v>6.00879E-3</v>
      </c>
      <c r="H55" s="24" t="s">
        <v>146</v>
      </c>
    </row>
    <row r="56" spans="1:8" ht="25.5" x14ac:dyDescent="0.2">
      <c r="A56" s="27">
        <v>50</v>
      </c>
      <c r="B56" s="28" t="s">
        <v>471</v>
      </c>
      <c r="C56" s="28" t="s">
        <v>472</v>
      </c>
      <c r="D56" s="28" t="s">
        <v>198</v>
      </c>
      <c r="E56" s="29">
        <v>6191</v>
      </c>
      <c r="F56" s="30">
        <v>874.3765985</v>
      </c>
      <c r="G56" s="31">
        <v>5.9564700000000002E-3</v>
      </c>
      <c r="H56" s="24" t="s">
        <v>146</v>
      </c>
    </row>
    <row r="57" spans="1:8" ht="25.5" x14ac:dyDescent="0.2">
      <c r="A57" s="27">
        <v>51</v>
      </c>
      <c r="B57" s="28" t="s">
        <v>301</v>
      </c>
      <c r="C57" s="28" t="s">
        <v>302</v>
      </c>
      <c r="D57" s="28" t="s">
        <v>258</v>
      </c>
      <c r="E57" s="29">
        <v>20000</v>
      </c>
      <c r="F57" s="30">
        <v>829.74</v>
      </c>
      <c r="G57" s="31">
        <v>5.6523900000000002E-3</v>
      </c>
      <c r="H57" s="24" t="s">
        <v>146</v>
      </c>
    </row>
    <row r="58" spans="1:8" ht="25.5" x14ac:dyDescent="0.2">
      <c r="A58" s="27">
        <v>52</v>
      </c>
      <c r="B58" s="28" t="s">
        <v>293</v>
      </c>
      <c r="C58" s="28" t="s">
        <v>294</v>
      </c>
      <c r="D58" s="28" t="s">
        <v>198</v>
      </c>
      <c r="E58" s="29">
        <v>33000</v>
      </c>
      <c r="F58" s="30">
        <v>803.68200000000002</v>
      </c>
      <c r="G58" s="31">
        <v>5.4748799999999997E-3</v>
      </c>
      <c r="H58" s="24" t="s">
        <v>146</v>
      </c>
    </row>
    <row r="59" spans="1:8" x14ac:dyDescent="0.2">
      <c r="A59" s="27">
        <v>53</v>
      </c>
      <c r="B59" s="28" t="s">
        <v>219</v>
      </c>
      <c r="C59" s="28" t="s">
        <v>220</v>
      </c>
      <c r="D59" s="28" t="s">
        <v>16</v>
      </c>
      <c r="E59" s="29">
        <v>211000</v>
      </c>
      <c r="F59" s="30">
        <v>755.90750000000003</v>
      </c>
      <c r="G59" s="31">
        <v>5.14943E-3</v>
      </c>
      <c r="H59" s="24" t="s">
        <v>146</v>
      </c>
    </row>
    <row r="60" spans="1:8" x14ac:dyDescent="0.2">
      <c r="A60" s="27">
        <v>54</v>
      </c>
      <c r="B60" s="28" t="s">
        <v>114</v>
      </c>
      <c r="C60" s="28" t="s">
        <v>115</v>
      </c>
      <c r="D60" s="28" t="s">
        <v>83</v>
      </c>
      <c r="E60" s="29">
        <v>22000</v>
      </c>
      <c r="F60" s="30">
        <v>753.67600000000004</v>
      </c>
      <c r="G60" s="31">
        <v>5.13423E-3</v>
      </c>
      <c r="H60" s="24" t="s">
        <v>146</v>
      </c>
    </row>
    <row r="61" spans="1:8" x14ac:dyDescent="0.2">
      <c r="A61" s="27">
        <v>55</v>
      </c>
      <c r="B61" s="28" t="s">
        <v>352</v>
      </c>
      <c r="C61" s="28" t="s">
        <v>353</v>
      </c>
      <c r="D61" s="28" t="s">
        <v>354</v>
      </c>
      <c r="E61" s="29">
        <v>49000</v>
      </c>
      <c r="F61" s="30">
        <v>738.89549999999997</v>
      </c>
      <c r="G61" s="31">
        <v>5.0335400000000004E-3</v>
      </c>
      <c r="H61" s="24" t="s">
        <v>146</v>
      </c>
    </row>
    <row r="62" spans="1:8" x14ac:dyDescent="0.2">
      <c r="A62" s="27">
        <v>56</v>
      </c>
      <c r="B62" s="28" t="s">
        <v>278</v>
      </c>
      <c r="C62" s="28" t="s">
        <v>279</v>
      </c>
      <c r="D62" s="28" t="s">
        <v>280</v>
      </c>
      <c r="E62" s="29">
        <v>119000</v>
      </c>
      <c r="F62" s="30">
        <v>733.04</v>
      </c>
      <c r="G62" s="31">
        <v>4.9936499999999997E-3</v>
      </c>
      <c r="H62" s="24" t="s">
        <v>146</v>
      </c>
    </row>
    <row r="63" spans="1:8" ht="25.5" x14ac:dyDescent="0.2">
      <c r="A63" s="27">
        <v>57</v>
      </c>
      <c r="B63" s="28" t="s">
        <v>73</v>
      </c>
      <c r="C63" s="28" t="s">
        <v>74</v>
      </c>
      <c r="D63" s="28" t="s">
        <v>75</v>
      </c>
      <c r="E63" s="29">
        <v>64000</v>
      </c>
      <c r="F63" s="30">
        <v>703.58399999999995</v>
      </c>
      <c r="G63" s="31">
        <v>4.7929899999999996E-3</v>
      </c>
      <c r="H63" s="24" t="s">
        <v>146</v>
      </c>
    </row>
    <row r="64" spans="1:8" x14ac:dyDescent="0.2">
      <c r="A64" s="27">
        <v>58</v>
      </c>
      <c r="B64" s="28" t="s">
        <v>291</v>
      </c>
      <c r="C64" s="28" t="s">
        <v>292</v>
      </c>
      <c r="D64" s="28" t="s">
        <v>280</v>
      </c>
      <c r="E64" s="29">
        <v>60000</v>
      </c>
      <c r="F64" s="30">
        <v>669.45</v>
      </c>
      <c r="G64" s="31">
        <v>4.5604599999999997E-3</v>
      </c>
      <c r="H64" s="24" t="s">
        <v>146</v>
      </c>
    </row>
    <row r="65" spans="1:8" x14ac:dyDescent="0.2">
      <c r="A65" s="27">
        <v>59</v>
      </c>
      <c r="B65" s="28" t="s">
        <v>811</v>
      </c>
      <c r="C65" s="28" t="s">
        <v>812</v>
      </c>
      <c r="D65" s="28" t="s">
        <v>275</v>
      </c>
      <c r="E65" s="29">
        <v>38619</v>
      </c>
      <c r="F65" s="30">
        <v>647.85303450000004</v>
      </c>
      <c r="G65" s="31">
        <v>4.41333E-3</v>
      </c>
      <c r="H65" s="24" t="s">
        <v>146</v>
      </c>
    </row>
    <row r="66" spans="1:8" ht="25.5" x14ac:dyDescent="0.2">
      <c r="A66" s="27">
        <v>60</v>
      </c>
      <c r="B66" s="28" t="s">
        <v>703</v>
      </c>
      <c r="C66" s="28" t="s">
        <v>704</v>
      </c>
      <c r="D66" s="28" t="s">
        <v>25</v>
      </c>
      <c r="E66" s="29">
        <v>32737</v>
      </c>
      <c r="F66" s="30">
        <v>610.98699950000002</v>
      </c>
      <c r="G66" s="31">
        <v>4.1621899999999996E-3</v>
      </c>
      <c r="H66" s="24" t="s">
        <v>146</v>
      </c>
    </row>
    <row r="67" spans="1:8" x14ac:dyDescent="0.2">
      <c r="A67" s="27">
        <v>61</v>
      </c>
      <c r="B67" s="28" t="s">
        <v>63</v>
      </c>
      <c r="C67" s="28" t="s">
        <v>64</v>
      </c>
      <c r="D67" s="28" t="s">
        <v>19</v>
      </c>
      <c r="E67" s="29">
        <v>24000</v>
      </c>
      <c r="F67" s="30">
        <v>325.17599999999999</v>
      </c>
      <c r="G67" s="31">
        <v>2.2151800000000002E-3</v>
      </c>
      <c r="H67" s="24" t="s">
        <v>146</v>
      </c>
    </row>
    <row r="68" spans="1:8" x14ac:dyDescent="0.2">
      <c r="A68" s="27">
        <v>62</v>
      </c>
      <c r="B68" s="28" t="s">
        <v>453</v>
      </c>
      <c r="C68" s="28" t="s">
        <v>454</v>
      </c>
      <c r="D68" s="28" t="s">
        <v>223</v>
      </c>
      <c r="E68" s="29">
        <v>67000</v>
      </c>
      <c r="F68" s="30">
        <v>109.1765</v>
      </c>
      <c r="G68" s="31">
        <v>7.4374E-4</v>
      </c>
      <c r="H68" s="24" t="s">
        <v>146</v>
      </c>
    </row>
    <row r="69" spans="1:8" x14ac:dyDescent="0.2">
      <c r="A69" s="25"/>
      <c r="B69" s="25"/>
      <c r="C69" s="26" t="s">
        <v>145</v>
      </c>
      <c r="D69" s="25"/>
      <c r="E69" s="25" t="s">
        <v>146</v>
      </c>
      <c r="F69" s="32">
        <v>142542.339886</v>
      </c>
      <c r="G69" s="33">
        <v>0.97103340999999999</v>
      </c>
      <c r="H69" s="24" t="s">
        <v>146</v>
      </c>
    </row>
    <row r="70" spans="1:8" x14ac:dyDescent="0.2">
      <c r="A70" s="25"/>
      <c r="B70" s="25"/>
      <c r="C70" s="34"/>
      <c r="D70" s="25"/>
      <c r="E70" s="25"/>
      <c r="F70" s="35"/>
      <c r="G70" s="35"/>
      <c r="H70" s="24" t="s">
        <v>146</v>
      </c>
    </row>
    <row r="71" spans="1:8" x14ac:dyDescent="0.2">
      <c r="A71" s="25"/>
      <c r="B71" s="25"/>
      <c r="C71" s="26" t="s">
        <v>147</v>
      </c>
      <c r="D71" s="25"/>
      <c r="E71" s="25"/>
      <c r="F71" s="25"/>
      <c r="G71" s="25"/>
      <c r="H71" s="24" t="s">
        <v>146</v>
      </c>
    </row>
    <row r="72" spans="1:8" x14ac:dyDescent="0.2">
      <c r="A72" s="25"/>
      <c r="B72" s="25"/>
      <c r="C72" s="26" t="s">
        <v>145</v>
      </c>
      <c r="D72" s="25"/>
      <c r="E72" s="25" t="s">
        <v>146</v>
      </c>
      <c r="F72" s="36" t="s">
        <v>148</v>
      </c>
      <c r="G72" s="33">
        <v>0</v>
      </c>
      <c r="H72" s="24" t="s">
        <v>146</v>
      </c>
    </row>
    <row r="73" spans="1:8" x14ac:dyDescent="0.2">
      <c r="A73" s="25"/>
      <c r="B73" s="25"/>
      <c r="C73" s="34"/>
      <c r="D73" s="25"/>
      <c r="E73" s="25"/>
      <c r="F73" s="35"/>
      <c r="G73" s="35"/>
      <c r="H73" s="24" t="s">
        <v>146</v>
      </c>
    </row>
    <row r="74" spans="1:8" x14ac:dyDescent="0.2">
      <c r="A74" s="25"/>
      <c r="B74" s="25"/>
      <c r="C74" s="26" t="s">
        <v>149</v>
      </c>
      <c r="D74" s="25"/>
      <c r="E74" s="25"/>
      <c r="F74" s="25"/>
      <c r="G74" s="25"/>
      <c r="H74" s="24" t="s">
        <v>146</v>
      </c>
    </row>
    <row r="75" spans="1:8" x14ac:dyDescent="0.2">
      <c r="A75" s="25"/>
      <c r="B75" s="25"/>
      <c r="C75" s="26" t="s">
        <v>145</v>
      </c>
      <c r="D75" s="25"/>
      <c r="E75" s="25" t="s">
        <v>146</v>
      </c>
      <c r="F75" s="36" t="s">
        <v>148</v>
      </c>
      <c r="G75" s="33">
        <v>0</v>
      </c>
      <c r="H75" s="24" t="s">
        <v>146</v>
      </c>
    </row>
    <row r="76" spans="1:8" x14ac:dyDescent="0.2">
      <c r="A76" s="25"/>
      <c r="B76" s="25"/>
      <c r="C76" s="34"/>
      <c r="D76" s="25"/>
      <c r="E76" s="25"/>
      <c r="F76" s="35"/>
      <c r="G76" s="35"/>
      <c r="H76" s="24" t="s">
        <v>146</v>
      </c>
    </row>
    <row r="77" spans="1:8" x14ac:dyDescent="0.2">
      <c r="A77" s="25"/>
      <c r="B77" s="25"/>
      <c r="C77" s="26" t="s">
        <v>150</v>
      </c>
      <c r="D77" s="25"/>
      <c r="E77" s="25"/>
      <c r="F77" s="25"/>
      <c r="G77" s="25"/>
      <c r="H77" s="24" t="s">
        <v>146</v>
      </c>
    </row>
    <row r="78" spans="1:8" x14ac:dyDescent="0.2">
      <c r="A78" s="25"/>
      <c r="B78" s="25"/>
      <c r="C78" s="26" t="s">
        <v>145</v>
      </c>
      <c r="D78" s="25"/>
      <c r="E78" s="25" t="s">
        <v>146</v>
      </c>
      <c r="F78" s="36" t="s">
        <v>148</v>
      </c>
      <c r="G78" s="33">
        <v>0</v>
      </c>
      <c r="H78" s="24" t="s">
        <v>146</v>
      </c>
    </row>
    <row r="79" spans="1:8" x14ac:dyDescent="0.2">
      <c r="A79" s="25"/>
      <c r="B79" s="25"/>
      <c r="C79" s="34"/>
      <c r="D79" s="25"/>
      <c r="E79" s="25"/>
      <c r="F79" s="35"/>
      <c r="G79" s="35"/>
      <c r="H79" s="24" t="s">
        <v>146</v>
      </c>
    </row>
    <row r="80" spans="1:8" x14ac:dyDescent="0.2">
      <c r="A80" s="25"/>
      <c r="B80" s="25"/>
      <c r="C80" s="26" t="s">
        <v>151</v>
      </c>
      <c r="D80" s="25"/>
      <c r="E80" s="25"/>
      <c r="F80" s="35"/>
      <c r="G80" s="35"/>
      <c r="H80" s="24" t="s">
        <v>146</v>
      </c>
    </row>
    <row r="81" spans="1:8" x14ac:dyDescent="0.2">
      <c r="A81" s="25"/>
      <c r="B81" s="25"/>
      <c r="C81" s="26" t="s">
        <v>145</v>
      </c>
      <c r="D81" s="25"/>
      <c r="E81" s="25" t="s">
        <v>146</v>
      </c>
      <c r="F81" s="36" t="s">
        <v>148</v>
      </c>
      <c r="G81" s="33">
        <v>0</v>
      </c>
      <c r="H81" s="24" t="s">
        <v>146</v>
      </c>
    </row>
    <row r="82" spans="1:8" x14ac:dyDescent="0.2">
      <c r="A82" s="25"/>
      <c r="B82" s="25"/>
      <c r="C82" s="34"/>
      <c r="D82" s="25"/>
      <c r="E82" s="25"/>
      <c r="F82" s="35"/>
      <c r="G82" s="35"/>
      <c r="H82" s="24" t="s">
        <v>146</v>
      </c>
    </row>
    <row r="83" spans="1:8" x14ac:dyDescent="0.2">
      <c r="A83" s="25"/>
      <c r="B83" s="25"/>
      <c r="C83" s="26" t="s">
        <v>152</v>
      </c>
      <c r="D83" s="25"/>
      <c r="E83" s="25"/>
      <c r="F83" s="35"/>
      <c r="G83" s="35"/>
      <c r="H83" s="24" t="s">
        <v>146</v>
      </c>
    </row>
    <row r="84" spans="1:8" x14ac:dyDescent="0.2">
      <c r="A84" s="25"/>
      <c r="B84" s="25"/>
      <c r="C84" s="26" t="s">
        <v>145</v>
      </c>
      <c r="D84" s="25"/>
      <c r="E84" s="25" t="s">
        <v>146</v>
      </c>
      <c r="F84" s="36" t="s">
        <v>148</v>
      </c>
      <c r="G84" s="33">
        <v>0</v>
      </c>
      <c r="H84" s="24" t="s">
        <v>146</v>
      </c>
    </row>
    <row r="85" spans="1:8" x14ac:dyDescent="0.2">
      <c r="A85" s="25"/>
      <c r="B85" s="25"/>
      <c r="C85" s="34"/>
      <c r="D85" s="25"/>
      <c r="E85" s="25"/>
      <c r="F85" s="35"/>
      <c r="G85" s="35"/>
      <c r="H85" s="24" t="s">
        <v>146</v>
      </c>
    </row>
    <row r="86" spans="1:8" x14ac:dyDescent="0.2">
      <c r="A86" s="25"/>
      <c r="B86" s="25"/>
      <c r="C86" s="26" t="s">
        <v>153</v>
      </c>
      <c r="D86" s="25"/>
      <c r="E86" s="25"/>
      <c r="F86" s="32">
        <v>142542.339886</v>
      </c>
      <c r="G86" s="33">
        <v>0.97103340999999999</v>
      </c>
      <c r="H86" s="24" t="s">
        <v>146</v>
      </c>
    </row>
    <row r="87" spans="1:8" x14ac:dyDescent="0.2">
      <c r="A87" s="25"/>
      <c r="B87" s="25"/>
      <c r="C87" s="34"/>
      <c r="D87" s="25"/>
      <c r="E87" s="25"/>
      <c r="F87" s="35"/>
      <c r="G87" s="35"/>
      <c r="H87" s="24" t="s">
        <v>146</v>
      </c>
    </row>
    <row r="88" spans="1:8" x14ac:dyDescent="0.2">
      <c r="A88" s="25"/>
      <c r="B88" s="25"/>
      <c r="C88" s="26" t="s">
        <v>154</v>
      </c>
      <c r="D88" s="25"/>
      <c r="E88" s="25"/>
      <c r="F88" s="35"/>
      <c r="G88" s="35"/>
      <c r="H88" s="24" t="s">
        <v>146</v>
      </c>
    </row>
    <row r="89" spans="1:8" x14ac:dyDescent="0.2">
      <c r="A89" s="25"/>
      <c r="B89" s="25"/>
      <c r="C89" s="26" t="s">
        <v>10</v>
      </c>
      <c r="D89" s="25"/>
      <c r="E89" s="25"/>
      <c r="F89" s="35"/>
      <c r="G89" s="35"/>
      <c r="H89" s="24" t="s">
        <v>146</v>
      </c>
    </row>
    <row r="90" spans="1:8" x14ac:dyDescent="0.2">
      <c r="A90" s="25"/>
      <c r="B90" s="25"/>
      <c r="C90" s="26" t="s">
        <v>145</v>
      </c>
      <c r="D90" s="25"/>
      <c r="E90" s="25" t="s">
        <v>146</v>
      </c>
      <c r="F90" s="36" t="s">
        <v>148</v>
      </c>
      <c r="G90" s="33">
        <v>0</v>
      </c>
      <c r="H90" s="24" t="s">
        <v>146</v>
      </c>
    </row>
    <row r="91" spans="1:8" x14ac:dyDescent="0.2">
      <c r="A91" s="25"/>
      <c r="B91" s="25"/>
      <c r="C91" s="34"/>
      <c r="D91" s="25"/>
      <c r="E91" s="25"/>
      <c r="F91" s="35"/>
      <c r="G91" s="35"/>
      <c r="H91" s="24" t="s">
        <v>146</v>
      </c>
    </row>
    <row r="92" spans="1:8" x14ac:dyDescent="0.2">
      <c r="A92" s="25"/>
      <c r="B92" s="25"/>
      <c r="C92" s="26" t="s">
        <v>155</v>
      </c>
      <c r="D92" s="25"/>
      <c r="E92" s="25"/>
      <c r="F92" s="25"/>
      <c r="G92" s="25"/>
      <c r="H92" s="24" t="s">
        <v>146</v>
      </c>
    </row>
    <row r="93" spans="1:8" x14ac:dyDescent="0.2">
      <c r="A93" s="25"/>
      <c r="B93" s="25"/>
      <c r="C93" s="26" t="s">
        <v>145</v>
      </c>
      <c r="D93" s="25"/>
      <c r="E93" s="25" t="s">
        <v>146</v>
      </c>
      <c r="F93" s="36" t="s">
        <v>148</v>
      </c>
      <c r="G93" s="33">
        <v>0</v>
      </c>
      <c r="H93" s="24" t="s">
        <v>146</v>
      </c>
    </row>
    <row r="94" spans="1:8" x14ac:dyDescent="0.2">
      <c r="A94" s="25"/>
      <c r="B94" s="25"/>
      <c r="C94" s="34"/>
      <c r="D94" s="25"/>
      <c r="E94" s="25"/>
      <c r="F94" s="35"/>
      <c r="G94" s="35"/>
      <c r="H94" s="24" t="s">
        <v>146</v>
      </c>
    </row>
    <row r="95" spans="1:8" x14ac:dyDescent="0.2">
      <c r="A95" s="25"/>
      <c r="B95" s="25"/>
      <c r="C95" s="26" t="s">
        <v>156</v>
      </c>
      <c r="D95" s="25"/>
      <c r="E95" s="25"/>
      <c r="F95" s="25"/>
      <c r="G95" s="25"/>
      <c r="H95" s="24" t="s">
        <v>146</v>
      </c>
    </row>
    <row r="96" spans="1:8" x14ac:dyDescent="0.2">
      <c r="A96" s="25"/>
      <c r="B96" s="25"/>
      <c r="C96" s="26" t="s">
        <v>145</v>
      </c>
      <c r="D96" s="25"/>
      <c r="E96" s="25" t="s">
        <v>146</v>
      </c>
      <c r="F96" s="36" t="s">
        <v>148</v>
      </c>
      <c r="G96" s="33">
        <v>0</v>
      </c>
      <c r="H96" s="24" t="s">
        <v>146</v>
      </c>
    </row>
    <row r="97" spans="1:8" x14ac:dyDescent="0.2">
      <c r="A97" s="25"/>
      <c r="B97" s="25"/>
      <c r="C97" s="34"/>
      <c r="D97" s="25"/>
      <c r="E97" s="25"/>
      <c r="F97" s="35"/>
      <c r="G97" s="35"/>
      <c r="H97" s="24" t="s">
        <v>146</v>
      </c>
    </row>
    <row r="98" spans="1:8" x14ac:dyDescent="0.2">
      <c r="A98" s="25"/>
      <c r="B98" s="25"/>
      <c r="C98" s="26" t="s">
        <v>157</v>
      </c>
      <c r="D98" s="25"/>
      <c r="E98" s="25"/>
      <c r="F98" s="35"/>
      <c r="G98" s="35"/>
      <c r="H98" s="24" t="s">
        <v>146</v>
      </c>
    </row>
    <row r="99" spans="1:8" x14ac:dyDescent="0.2">
      <c r="A99" s="25"/>
      <c r="B99" s="25"/>
      <c r="C99" s="26" t="s">
        <v>145</v>
      </c>
      <c r="D99" s="25"/>
      <c r="E99" s="25" t="s">
        <v>146</v>
      </c>
      <c r="F99" s="36" t="s">
        <v>148</v>
      </c>
      <c r="G99" s="33">
        <v>0</v>
      </c>
      <c r="H99" s="24" t="s">
        <v>146</v>
      </c>
    </row>
    <row r="100" spans="1:8" x14ac:dyDescent="0.2">
      <c r="A100" s="25"/>
      <c r="B100" s="25"/>
      <c r="C100" s="34"/>
      <c r="D100" s="25"/>
      <c r="E100" s="25"/>
      <c r="F100" s="35"/>
      <c r="G100" s="35"/>
      <c r="H100" s="24" t="s">
        <v>146</v>
      </c>
    </row>
    <row r="101" spans="1:8" x14ac:dyDescent="0.2">
      <c r="A101" s="25"/>
      <c r="B101" s="25"/>
      <c r="C101" s="26" t="s">
        <v>158</v>
      </c>
      <c r="D101" s="25"/>
      <c r="E101" s="25"/>
      <c r="F101" s="32">
        <v>0</v>
      </c>
      <c r="G101" s="33">
        <v>0</v>
      </c>
      <c r="H101" s="24" t="s">
        <v>146</v>
      </c>
    </row>
    <row r="102" spans="1:8" x14ac:dyDescent="0.2">
      <c r="A102" s="25"/>
      <c r="B102" s="25"/>
      <c r="C102" s="34"/>
      <c r="D102" s="25"/>
      <c r="E102" s="25"/>
      <c r="F102" s="35"/>
      <c r="G102" s="35"/>
      <c r="H102" s="24" t="s">
        <v>146</v>
      </c>
    </row>
    <row r="103" spans="1:8" x14ac:dyDescent="0.2">
      <c r="A103" s="25"/>
      <c r="B103" s="25"/>
      <c r="C103" s="26" t="s">
        <v>159</v>
      </c>
      <c r="D103" s="25"/>
      <c r="E103" s="25"/>
      <c r="F103" s="35"/>
      <c r="G103" s="35"/>
      <c r="H103" s="24" t="s">
        <v>146</v>
      </c>
    </row>
    <row r="104" spans="1:8" x14ac:dyDescent="0.2">
      <c r="A104" s="25"/>
      <c r="B104" s="25"/>
      <c r="C104" s="26" t="s">
        <v>160</v>
      </c>
      <c r="D104" s="25"/>
      <c r="E104" s="25"/>
      <c r="F104" s="35"/>
      <c r="G104" s="35"/>
      <c r="H104" s="24" t="s">
        <v>146</v>
      </c>
    </row>
    <row r="105" spans="1:8" x14ac:dyDescent="0.2">
      <c r="A105" s="25"/>
      <c r="B105" s="25"/>
      <c r="C105" s="26" t="s">
        <v>145</v>
      </c>
      <c r="D105" s="25"/>
      <c r="E105" s="25" t="s">
        <v>146</v>
      </c>
      <c r="F105" s="36" t="s">
        <v>148</v>
      </c>
      <c r="G105" s="33">
        <v>0</v>
      </c>
      <c r="H105" s="24" t="s">
        <v>146</v>
      </c>
    </row>
    <row r="106" spans="1:8" x14ac:dyDescent="0.2">
      <c r="A106" s="25"/>
      <c r="B106" s="25"/>
      <c r="C106" s="34"/>
      <c r="D106" s="25"/>
      <c r="E106" s="25"/>
      <c r="F106" s="35"/>
      <c r="G106" s="35"/>
      <c r="H106" s="24" t="s">
        <v>146</v>
      </c>
    </row>
    <row r="107" spans="1:8" x14ac:dyDescent="0.2">
      <c r="A107" s="25"/>
      <c r="B107" s="25"/>
      <c r="C107" s="26" t="s">
        <v>161</v>
      </c>
      <c r="D107" s="25"/>
      <c r="E107" s="25"/>
      <c r="F107" s="35"/>
      <c r="G107" s="35"/>
      <c r="H107" s="24" t="s">
        <v>146</v>
      </c>
    </row>
    <row r="108" spans="1:8" x14ac:dyDescent="0.2">
      <c r="A108" s="25"/>
      <c r="B108" s="25"/>
      <c r="C108" s="26" t="s">
        <v>145</v>
      </c>
      <c r="D108" s="25"/>
      <c r="E108" s="25" t="s">
        <v>146</v>
      </c>
      <c r="F108" s="36" t="s">
        <v>148</v>
      </c>
      <c r="G108" s="33">
        <v>0</v>
      </c>
      <c r="H108" s="24" t="s">
        <v>146</v>
      </c>
    </row>
    <row r="109" spans="1:8" x14ac:dyDescent="0.2">
      <c r="A109" s="25"/>
      <c r="B109" s="25"/>
      <c r="C109" s="34"/>
      <c r="D109" s="25"/>
      <c r="E109" s="25"/>
      <c r="F109" s="35"/>
      <c r="G109" s="35"/>
      <c r="H109" s="24" t="s">
        <v>146</v>
      </c>
    </row>
    <row r="110" spans="1:8" x14ac:dyDescent="0.2">
      <c r="A110" s="25"/>
      <c r="B110" s="25"/>
      <c r="C110" s="26" t="s">
        <v>162</v>
      </c>
      <c r="D110" s="25"/>
      <c r="E110" s="25"/>
      <c r="F110" s="35"/>
      <c r="G110" s="35"/>
      <c r="H110" s="24" t="s">
        <v>146</v>
      </c>
    </row>
    <row r="111" spans="1:8" x14ac:dyDescent="0.2">
      <c r="A111" s="25"/>
      <c r="B111" s="25"/>
      <c r="C111" s="26" t="s">
        <v>145</v>
      </c>
      <c r="D111" s="25"/>
      <c r="E111" s="25" t="s">
        <v>146</v>
      </c>
      <c r="F111" s="36" t="s">
        <v>148</v>
      </c>
      <c r="G111" s="33">
        <v>0</v>
      </c>
      <c r="H111" s="24" t="s">
        <v>146</v>
      </c>
    </row>
    <row r="112" spans="1:8" x14ac:dyDescent="0.2">
      <c r="A112" s="25"/>
      <c r="B112" s="25"/>
      <c r="C112" s="34"/>
      <c r="D112" s="25"/>
      <c r="E112" s="25"/>
      <c r="F112" s="35"/>
      <c r="G112" s="35"/>
      <c r="H112" s="24" t="s">
        <v>146</v>
      </c>
    </row>
    <row r="113" spans="1:8" x14ac:dyDescent="0.2">
      <c r="A113" s="25"/>
      <c r="B113" s="25"/>
      <c r="C113" s="26" t="s">
        <v>163</v>
      </c>
      <c r="D113" s="25"/>
      <c r="E113" s="25"/>
      <c r="F113" s="35"/>
      <c r="G113" s="35"/>
      <c r="H113" s="24" t="s">
        <v>146</v>
      </c>
    </row>
    <row r="114" spans="1:8" x14ac:dyDescent="0.2">
      <c r="A114" s="27">
        <v>1</v>
      </c>
      <c r="B114" s="28"/>
      <c r="C114" s="28" t="s">
        <v>164</v>
      </c>
      <c r="D114" s="28"/>
      <c r="E114" s="38"/>
      <c r="F114" s="30">
        <v>4938.8762275839999</v>
      </c>
      <c r="G114" s="31">
        <v>3.3644840000000002E-2</v>
      </c>
      <c r="H114" s="24">
        <v>6.57</v>
      </c>
    </row>
    <row r="115" spans="1:8" x14ac:dyDescent="0.2">
      <c r="A115" s="25"/>
      <c r="B115" s="25"/>
      <c r="C115" s="26" t="s">
        <v>145</v>
      </c>
      <c r="D115" s="25"/>
      <c r="E115" s="25" t="s">
        <v>146</v>
      </c>
      <c r="F115" s="32">
        <v>4938.8762275839999</v>
      </c>
      <c r="G115" s="33">
        <v>3.3644840000000002E-2</v>
      </c>
      <c r="H115" s="24" t="s">
        <v>146</v>
      </c>
    </row>
    <row r="116" spans="1:8" x14ac:dyDescent="0.2">
      <c r="A116" s="25"/>
      <c r="B116" s="25"/>
      <c r="C116" s="34"/>
      <c r="D116" s="25"/>
      <c r="E116" s="25"/>
      <c r="F116" s="35"/>
      <c r="G116" s="35"/>
      <c r="H116" s="24" t="s">
        <v>146</v>
      </c>
    </row>
    <row r="117" spans="1:8" x14ac:dyDescent="0.2">
      <c r="A117" s="25"/>
      <c r="B117" s="25"/>
      <c r="C117" s="26" t="s">
        <v>165</v>
      </c>
      <c r="D117" s="25"/>
      <c r="E117" s="25"/>
      <c r="F117" s="32">
        <v>4938.8762275839999</v>
      </c>
      <c r="G117" s="33">
        <v>3.3644840000000002E-2</v>
      </c>
      <c r="H117" s="24" t="s">
        <v>146</v>
      </c>
    </row>
    <row r="118" spans="1:8" x14ac:dyDescent="0.2">
      <c r="A118" s="25"/>
      <c r="B118" s="25"/>
      <c r="C118" s="35"/>
      <c r="D118" s="25"/>
      <c r="E118" s="25"/>
      <c r="F118" s="25"/>
      <c r="G118" s="25"/>
      <c r="H118" s="24" t="s">
        <v>146</v>
      </c>
    </row>
    <row r="119" spans="1:8" x14ac:dyDescent="0.2">
      <c r="A119" s="25"/>
      <c r="B119" s="25"/>
      <c r="C119" s="26" t="s">
        <v>166</v>
      </c>
      <c r="D119" s="25"/>
      <c r="E119" s="25"/>
      <c r="F119" s="25"/>
      <c r="G119" s="25"/>
      <c r="H119" s="24" t="s">
        <v>146</v>
      </c>
    </row>
    <row r="120" spans="1:8" x14ac:dyDescent="0.2">
      <c r="A120" s="25"/>
      <c r="B120" s="25"/>
      <c r="C120" s="26" t="s">
        <v>167</v>
      </c>
      <c r="D120" s="25"/>
      <c r="E120" s="25"/>
      <c r="F120" s="25"/>
      <c r="G120" s="25"/>
      <c r="H120" s="24" t="s">
        <v>146</v>
      </c>
    </row>
    <row r="121" spans="1:8" x14ac:dyDescent="0.2">
      <c r="A121" s="25"/>
      <c r="B121" s="25"/>
      <c r="C121" s="26" t="s">
        <v>145</v>
      </c>
      <c r="D121" s="25"/>
      <c r="E121" s="25" t="s">
        <v>146</v>
      </c>
      <c r="F121" s="36" t="s">
        <v>148</v>
      </c>
      <c r="G121" s="33">
        <v>0</v>
      </c>
      <c r="H121" s="24" t="s">
        <v>146</v>
      </c>
    </row>
    <row r="122" spans="1:8" x14ac:dyDescent="0.2">
      <c r="A122" s="25"/>
      <c r="B122" s="25"/>
      <c r="C122" s="34"/>
      <c r="D122" s="25"/>
      <c r="E122" s="25"/>
      <c r="F122" s="35"/>
      <c r="G122" s="35"/>
      <c r="H122" s="24" t="s">
        <v>146</v>
      </c>
    </row>
    <row r="123" spans="1:8" x14ac:dyDescent="0.2">
      <c r="A123" s="25"/>
      <c r="B123" s="25"/>
      <c r="C123" s="26" t="s">
        <v>168</v>
      </c>
      <c r="D123" s="25"/>
      <c r="E123" s="25"/>
      <c r="F123" s="25"/>
      <c r="G123" s="25"/>
      <c r="H123" s="24" t="s">
        <v>146</v>
      </c>
    </row>
    <row r="124" spans="1:8" x14ac:dyDescent="0.2">
      <c r="A124" s="25"/>
      <c r="B124" s="25"/>
      <c r="C124" s="26" t="s">
        <v>169</v>
      </c>
      <c r="D124" s="25"/>
      <c r="E124" s="25"/>
      <c r="F124" s="25"/>
      <c r="G124" s="25"/>
      <c r="H124" s="24" t="s">
        <v>146</v>
      </c>
    </row>
    <row r="125" spans="1:8" x14ac:dyDescent="0.2">
      <c r="A125" s="25"/>
      <c r="B125" s="25"/>
      <c r="C125" s="26" t="s">
        <v>145</v>
      </c>
      <c r="D125" s="25"/>
      <c r="E125" s="25" t="s">
        <v>146</v>
      </c>
      <c r="F125" s="36" t="s">
        <v>148</v>
      </c>
      <c r="G125" s="33">
        <v>0</v>
      </c>
      <c r="H125" s="24" t="s">
        <v>146</v>
      </c>
    </row>
    <row r="126" spans="1:8" x14ac:dyDescent="0.2">
      <c r="A126" s="25"/>
      <c r="B126" s="25"/>
      <c r="C126" s="34"/>
      <c r="D126" s="25"/>
      <c r="E126" s="25"/>
      <c r="F126" s="35"/>
      <c r="G126" s="35"/>
      <c r="H126" s="24" t="s">
        <v>146</v>
      </c>
    </row>
    <row r="127" spans="1:8" x14ac:dyDescent="0.2">
      <c r="A127" s="25"/>
      <c r="B127" s="25"/>
      <c r="C127" s="26" t="s">
        <v>170</v>
      </c>
      <c r="D127" s="25"/>
      <c r="E127" s="25"/>
      <c r="F127" s="35"/>
      <c r="G127" s="35"/>
      <c r="H127" s="24" t="s">
        <v>146</v>
      </c>
    </row>
    <row r="128" spans="1:8" x14ac:dyDescent="0.2">
      <c r="A128" s="25"/>
      <c r="B128" s="25"/>
      <c r="C128" s="26" t="s">
        <v>145</v>
      </c>
      <c r="D128" s="25"/>
      <c r="E128" s="25" t="s">
        <v>146</v>
      </c>
      <c r="F128" s="36" t="s">
        <v>148</v>
      </c>
      <c r="G128" s="33">
        <v>0</v>
      </c>
      <c r="H128" s="24" t="s">
        <v>146</v>
      </c>
    </row>
    <row r="129" spans="1:17" x14ac:dyDescent="0.2">
      <c r="A129" s="25"/>
      <c r="B129" s="28"/>
      <c r="C129" s="28"/>
      <c r="D129" s="26"/>
      <c r="E129" s="25"/>
      <c r="F129" s="28"/>
      <c r="G129" s="38"/>
      <c r="H129" s="24" t="s">
        <v>146</v>
      </c>
    </row>
    <row r="130" spans="1:17" x14ac:dyDescent="0.2">
      <c r="A130" s="38"/>
      <c r="B130" s="28"/>
      <c r="C130" s="28" t="s">
        <v>171</v>
      </c>
      <c r="D130" s="28"/>
      <c r="E130" s="38"/>
      <c r="F130" s="30">
        <v>-686.73718928000005</v>
      </c>
      <c r="G130" s="31">
        <v>-4.6782200000000003E-3</v>
      </c>
      <c r="H130" s="24" t="s">
        <v>146</v>
      </c>
    </row>
    <row r="131" spans="1:17" x14ac:dyDescent="0.2">
      <c r="A131" s="34"/>
      <c r="B131" s="34"/>
      <c r="C131" s="26" t="s">
        <v>172</v>
      </c>
      <c r="D131" s="35"/>
      <c r="E131" s="35"/>
      <c r="F131" s="32">
        <v>146794.47892430401</v>
      </c>
      <c r="G131" s="39">
        <v>1.00000003</v>
      </c>
      <c r="H131" s="24" t="s">
        <v>146</v>
      </c>
    </row>
    <row r="132" spans="1:17" x14ac:dyDescent="0.2">
      <c r="A132" s="40"/>
      <c r="B132" s="40"/>
      <c r="C132" s="40"/>
      <c r="D132" s="41"/>
      <c r="E132" s="41"/>
      <c r="F132" s="41"/>
      <c r="G132" s="41"/>
    </row>
    <row r="133" spans="1:17" x14ac:dyDescent="0.2">
      <c r="A133" s="42"/>
      <c r="B133" s="236" t="s">
        <v>858</v>
      </c>
      <c r="C133" s="236"/>
      <c r="D133" s="236"/>
      <c r="E133" s="236"/>
      <c r="F133" s="236"/>
      <c r="G133" s="236"/>
      <c r="H133" s="236"/>
      <c r="J133" s="44"/>
    </row>
    <row r="134" spans="1:17" x14ac:dyDescent="0.2">
      <c r="A134" s="42"/>
      <c r="B134" s="236" t="s">
        <v>859</v>
      </c>
      <c r="C134" s="236"/>
      <c r="D134" s="236"/>
      <c r="E134" s="236"/>
      <c r="F134" s="236"/>
      <c r="G134" s="236"/>
      <c r="H134" s="236"/>
      <c r="J134" s="44"/>
    </row>
    <row r="135" spans="1:17" x14ac:dyDescent="0.2">
      <c r="A135" s="42"/>
      <c r="B135" s="236" t="s">
        <v>860</v>
      </c>
      <c r="C135" s="236"/>
      <c r="D135" s="236"/>
      <c r="E135" s="236"/>
      <c r="F135" s="236"/>
      <c r="G135" s="236"/>
      <c r="H135" s="236"/>
      <c r="J135" s="44"/>
    </row>
    <row r="136" spans="1:17" s="46" customFormat="1" ht="65.25" customHeight="1" x14ac:dyDescent="0.25">
      <c r="A136" s="45"/>
      <c r="B136" s="237" t="s">
        <v>861</v>
      </c>
      <c r="C136" s="237"/>
      <c r="D136" s="237"/>
      <c r="E136" s="237"/>
      <c r="F136" s="237"/>
      <c r="G136" s="237"/>
      <c r="H136" s="237"/>
      <c r="I136"/>
      <c r="J136" s="44"/>
      <c r="K136"/>
      <c r="L136"/>
      <c r="M136"/>
      <c r="N136"/>
      <c r="O136"/>
      <c r="P136"/>
      <c r="Q136"/>
    </row>
    <row r="137" spans="1:17" x14ac:dyDescent="0.2">
      <c r="A137" s="42"/>
      <c r="B137" s="236" t="s">
        <v>862</v>
      </c>
      <c r="C137" s="236"/>
      <c r="D137" s="236"/>
      <c r="E137" s="236"/>
      <c r="F137" s="236"/>
      <c r="G137" s="236"/>
      <c r="H137" s="236"/>
      <c r="J137" s="44"/>
    </row>
    <row r="138" spans="1:17" x14ac:dyDescent="0.2">
      <c r="A138" s="47"/>
      <c r="B138" s="47"/>
      <c r="C138" s="47"/>
      <c r="D138" s="48"/>
      <c r="E138" s="48"/>
      <c r="F138" s="48"/>
      <c r="G138" s="48"/>
    </row>
    <row r="139" spans="1:17" x14ac:dyDescent="0.2">
      <c r="A139" s="47"/>
      <c r="B139" s="233" t="s">
        <v>173</v>
      </c>
      <c r="C139" s="234"/>
      <c r="D139" s="235"/>
      <c r="E139" s="49"/>
      <c r="F139" s="48"/>
      <c r="G139" s="48"/>
    </row>
    <row r="140" spans="1:17" ht="26.25" customHeight="1" x14ac:dyDescent="0.2">
      <c r="A140" s="47"/>
      <c r="B140" s="231" t="s">
        <v>174</v>
      </c>
      <c r="C140" s="232"/>
      <c r="D140" s="26" t="s">
        <v>175</v>
      </c>
      <c r="E140" s="49"/>
      <c r="F140" s="48"/>
      <c r="G140" s="48"/>
    </row>
    <row r="141" spans="1:17" x14ac:dyDescent="0.2">
      <c r="A141" s="47"/>
      <c r="B141" s="231" t="s">
        <v>863</v>
      </c>
      <c r="C141" s="232"/>
      <c r="D141" s="26" t="s">
        <v>175</v>
      </c>
      <c r="E141" s="49"/>
      <c r="F141" s="48"/>
      <c r="G141" s="48"/>
    </row>
    <row r="142" spans="1:17" x14ac:dyDescent="0.2">
      <c r="A142" s="47"/>
      <c r="B142" s="231" t="s">
        <v>176</v>
      </c>
      <c r="C142" s="232"/>
      <c r="D142" s="35" t="s">
        <v>146</v>
      </c>
      <c r="E142" s="49"/>
      <c r="F142" s="48"/>
      <c r="G142" s="48"/>
    </row>
    <row r="143" spans="1:17" x14ac:dyDescent="0.2">
      <c r="A143" s="53"/>
      <c r="B143" s="54" t="s">
        <v>146</v>
      </c>
      <c r="C143" s="54" t="s">
        <v>864</v>
      </c>
      <c r="D143" s="54" t="s">
        <v>177</v>
      </c>
      <c r="E143" s="53"/>
      <c r="F143" s="53"/>
      <c r="G143" s="53"/>
      <c r="H143" s="53"/>
      <c r="J143" s="44"/>
    </row>
    <row r="144" spans="1:17" x14ac:dyDescent="0.2">
      <c r="A144" s="53"/>
      <c r="B144" s="55" t="s">
        <v>178</v>
      </c>
      <c r="C144" s="56">
        <v>45657</v>
      </c>
      <c r="D144" s="56">
        <v>45688</v>
      </c>
      <c r="E144" s="53"/>
      <c r="F144" s="53"/>
      <c r="G144" s="53"/>
      <c r="J144" s="44"/>
    </row>
    <row r="145" spans="1:7" x14ac:dyDescent="0.2">
      <c r="A145" s="57"/>
      <c r="B145" s="28" t="s">
        <v>179</v>
      </c>
      <c r="C145" s="58">
        <v>225.0838</v>
      </c>
      <c r="D145" s="58">
        <v>217.9572</v>
      </c>
      <c r="E145" s="57"/>
      <c r="F145" s="59"/>
      <c r="G145" s="60"/>
    </row>
    <row r="146" spans="1:7" x14ac:dyDescent="0.2">
      <c r="A146" s="57"/>
      <c r="B146" s="28" t="s">
        <v>1025</v>
      </c>
      <c r="C146" s="58">
        <v>20.1587</v>
      </c>
      <c r="D146" s="58">
        <v>19.520499999999998</v>
      </c>
      <c r="E146" s="57"/>
      <c r="F146" s="59"/>
      <c r="G146" s="60"/>
    </row>
    <row r="147" spans="1:7" x14ac:dyDescent="0.2">
      <c r="A147" s="57"/>
      <c r="B147" s="28" t="s">
        <v>180</v>
      </c>
      <c r="C147" s="58">
        <v>213.0812</v>
      </c>
      <c r="D147" s="58">
        <v>206.23859999999999</v>
      </c>
      <c r="E147" s="57"/>
      <c r="F147" s="59"/>
      <c r="G147" s="60"/>
    </row>
    <row r="148" spans="1:7" x14ac:dyDescent="0.2">
      <c r="A148" s="57"/>
      <c r="B148" s="28" t="s">
        <v>1026</v>
      </c>
      <c r="C148" s="58">
        <v>16.637499999999999</v>
      </c>
      <c r="D148" s="58">
        <v>16.103300000000001</v>
      </c>
      <c r="E148" s="57"/>
      <c r="F148" s="59"/>
      <c r="G148" s="60"/>
    </row>
    <row r="149" spans="1:7" x14ac:dyDescent="0.2">
      <c r="A149" s="57"/>
      <c r="B149" s="57"/>
      <c r="C149" s="57"/>
      <c r="D149" s="57"/>
      <c r="E149" s="57"/>
      <c r="F149" s="57"/>
      <c r="G149" s="57"/>
    </row>
    <row r="150" spans="1:7" x14ac:dyDescent="0.2">
      <c r="A150" s="57"/>
      <c r="B150" s="231" t="s">
        <v>865</v>
      </c>
      <c r="C150" s="232"/>
      <c r="D150" s="50" t="s">
        <v>175</v>
      </c>
      <c r="E150" s="57"/>
      <c r="F150" s="57"/>
      <c r="G150" s="57"/>
    </row>
    <row r="151" spans="1:7" x14ac:dyDescent="0.2">
      <c r="A151" s="57"/>
      <c r="B151" s="74"/>
      <c r="C151" s="74"/>
      <c r="D151" s="74"/>
      <c r="E151" s="57"/>
      <c r="F151" s="57"/>
      <c r="G151" s="57"/>
    </row>
    <row r="152" spans="1:7" x14ac:dyDescent="0.2">
      <c r="A152" s="53"/>
      <c r="B152" s="227" t="s">
        <v>181</v>
      </c>
      <c r="C152" s="228"/>
      <c r="D152" s="50" t="s">
        <v>175</v>
      </c>
      <c r="E152" s="64"/>
      <c r="F152" s="53"/>
      <c r="G152" s="53"/>
    </row>
    <row r="153" spans="1:7" x14ac:dyDescent="0.2">
      <c r="A153" s="53"/>
      <c r="B153" s="227" t="s">
        <v>182</v>
      </c>
      <c r="C153" s="228"/>
      <c r="D153" s="50" t="s">
        <v>175</v>
      </c>
      <c r="E153" s="64"/>
      <c r="F153" s="53"/>
      <c r="G153" s="53"/>
    </row>
    <row r="154" spans="1:7" x14ac:dyDescent="0.2">
      <c r="A154" s="53"/>
      <c r="B154" s="227" t="s">
        <v>183</v>
      </c>
      <c r="C154" s="228"/>
      <c r="D154" s="50" t="s">
        <v>175</v>
      </c>
      <c r="E154" s="64"/>
      <c r="F154" s="53"/>
      <c r="G154" s="53"/>
    </row>
    <row r="155" spans="1:7" x14ac:dyDescent="0.2">
      <c r="A155" s="53"/>
      <c r="B155" s="227" t="s">
        <v>184</v>
      </c>
      <c r="C155" s="228"/>
      <c r="D155" s="65">
        <v>0.24717418969688759</v>
      </c>
      <c r="E155" s="53"/>
      <c r="F155" s="43"/>
      <c r="G155" s="63"/>
    </row>
    <row r="157" spans="1:7" x14ac:dyDescent="0.2">
      <c r="B157" s="229" t="s">
        <v>866</v>
      </c>
      <c r="C157" s="229"/>
    </row>
    <row r="159" spans="1:7" ht="153.75" customHeight="1" x14ac:dyDescent="0.2"/>
    <row r="162" spans="2:10" x14ac:dyDescent="0.2">
      <c r="B162" s="66" t="s">
        <v>867</v>
      </c>
      <c r="C162" s="67"/>
      <c r="D162" s="66" t="s">
        <v>870</v>
      </c>
    </row>
    <row r="163" spans="2:10" x14ac:dyDescent="0.2">
      <c r="B163" s="66" t="s">
        <v>1013</v>
      </c>
      <c r="D163" s="66" t="s">
        <v>1013</v>
      </c>
    </row>
    <row r="164" spans="2:10" ht="165" customHeight="1" x14ac:dyDescent="0.2"/>
    <row r="166" spans="2:10" x14ac:dyDescent="0.2">
      <c r="J166" s="21"/>
    </row>
  </sheetData>
  <mergeCells count="18">
    <mergeCell ref="A1:H1"/>
    <mergeCell ref="A2:H2"/>
    <mergeCell ref="A3:H3"/>
    <mergeCell ref="B141:C141"/>
    <mergeCell ref="B142:C142"/>
    <mergeCell ref="B139:D139"/>
    <mergeCell ref="B140:C140"/>
    <mergeCell ref="B133:H133"/>
    <mergeCell ref="B134:H134"/>
    <mergeCell ref="B135:H135"/>
    <mergeCell ref="B136:H136"/>
    <mergeCell ref="B137:H137"/>
    <mergeCell ref="B152:C152"/>
    <mergeCell ref="B157:C157"/>
    <mergeCell ref="B150:C150"/>
    <mergeCell ref="B154:C154"/>
    <mergeCell ref="B155:C155"/>
    <mergeCell ref="B153:C153"/>
  </mergeCells>
  <hyperlinks>
    <hyperlink ref="I1" location="Index!B2" display="Index" xr:uid="{163EF5E3-F7E8-4FE5-B622-5ED0F1DC3C3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73688-EEA2-4D88-8E1E-4219E33F3E8A}">
  <sheetPr>
    <outlinePr summaryBelow="0" summaryRight="0"/>
  </sheetPr>
  <dimension ref="A1:Q138"/>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825</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327</v>
      </c>
      <c r="C7" s="28" t="s">
        <v>328</v>
      </c>
      <c r="D7" s="28" t="s">
        <v>33</v>
      </c>
      <c r="E7" s="29">
        <v>1839000</v>
      </c>
      <c r="F7" s="30">
        <v>31240.012500000001</v>
      </c>
      <c r="G7" s="31">
        <v>9.4132019999999997E-2</v>
      </c>
      <c r="H7" s="24" t="s">
        <v>146</v>
      </c>
    </row>
    <row r="8" spans="1:9" x14ac:dyDescent="0.2">
      <c r="A8" s="27">
        <v>2</v>
      </c>
      <c r="B8" s="28" t="s">
        <v>31</v>
      </c>
      <c r="C8" s="28" t="s">
        <v>32</v>
      </c>
      <c r="D8" s="28" t="s">
        <v>33</v>
      </c>
      <c r="E8" s="29">
        <v>2365000</v>
      </c>
      <c r="F8" s="30">
        <v>29628.720000000001</v>
      </c>
      <c r="G8" s="31">
        <v>8.9276900000000006E-2</v>
      </c>
      <c r="H8" s="24" t="s">
        <v>146</v>
      </c>
    </row>
    <row r="9" spans="1:9" x14ac:dyDescent="0.2">
      <c r="A9" s="27">
        <v>3</v>
      </c>
      <c r="B9" s="28" t="s">
        <v>329</v>
      </c>
      <c r="C9" s="28" t="s">
        <v>330</v>
      </c>
      <c r="D9" s="28" t="s">
        <v>195</v>
      </c>
      <c r="E9" s="29">
        <v>1067000</v>
      </c>
      <c r="F9" s="30">
        <v>20057.466</v>
      </c>
      <c r="G9" s="31">
        <v>6.0436910000000003E-2</v>
      </c>
      <c r="H9" s="24" t="s">
        <v>146</v>
      </c>
    </row>
    <row r="10" spans="1:9" x14ac:dyDescent="0.2">
      <c r="A10" s="27">
        <v>4</v>
      </c>
      <c r="B10" s="28" t="s">
        <v>11</v>
      </c>
      <c r="C10" s="28" t="s">
        <v>12</v>
      </c>
      <c r="D10" s="28" t="s">
        <v>13</v>
      </c>
      <c r="E10" s="29">
        <v>555000</v>
      </c>
      <c r="F10" s="30">
        <v>19799.07</v>
      </c>
      <c r="G10" s="31">
        <v>5.9658320000000001E-2</v>
      </c>
      <c r="H10" s="24" t="s">
        <v>146</v>
      </c>
    </row>
    <row r="11" spans="1:9" x14ac:dyDescent="0.2">
      <c r="A11" s="27">
        <v>5</v>
      </c>
      <c r="B11" s="28" t="s">
        <v>14</v>
      </c>
      <c r="C11" s="28" t="s">
        <v>15</v>
      </c>
      <c r="D11" s="28" t="s">
        <v>16</v>
      </c>
      <c r="E11" s="29">
        <v>1504000</v>
      </c>
      <c r="F11" s="30">
        <v>19027.103999999999</v>
      </c>
      <c r="G11" s="31">
        <v>5.733224E-2</v>
      </c>
      <c r="H11" s="24" t="s">
        <v>146</v>
      </c>
    </row>
    <row r="12" spans="1:9" x14ac:dyDescent="0.2">
      <c r="A12" s="27">
        <v>6</v>
      </c>
      <c r="B12" s="28" t="s">
        <v>17</v>
      </c>
      <c r="C12" s="28" t="s">
        <v>18</v>
      </c>
      <c r="D12" s="28" t="s">
        <v>19</v>
      </c>
      <c r="E12" s="29">
        <v>977000</v>
      </c>
      <c r="F12" s="30">
        <v>15888.950999999999</v>
      </c>
      <c r="G12" s="31">
        <v>4.7876389999999998E-2</v>
      </c>
      <c r="H12" s="24" t="s">
        <v>146</v>
      </c>
    </row>
    <row r="13" spans="1:9" ht="25.5" x14ac:dyDescent="0.2">
      <c r="A13" s="27">
        <v>7</v>
      </c>
      <c r="B13" s="28" t="s">
        <v>345</v>
      </c>
      <c r="C13" s="28" t="s">
        <v>346</v>
      </c>
      <c r="D13" s="28" t="s">
        <v>198</v>
      </c>
      <c r="E13" s="29">
        <v>1137987</v>
      </c>
      <c r="F13" s="30">
        <v>13853.284744500001</v>
      </c>
      <c r="G13" s="31">
        <v>4.1742550000000003E-2</v>
      </c>
      <c r="H13" s="24" t="s">
        <v>146</v>
      </c>
    </row>
    <row r="14" spans="1:9" ht="25.5" x14ac:dyDescent="0.2">
      <c r="A14" s="27">
        <v>8</v>
      </c>
      <c r="B14" s="28" t="s">
        <v>337</v>
      </c>
      <c r="C14" s="28" t="s">
        <v>338</v>
      </c>
      <c r="D14" s="28" t="s">
        <v>198</v>
      </c>
      <c r="E14" s="29">
        <v>662000</v>
      </c>
      <c r="F14" s="30">
        <v>11544.949000000001</v>
      </c>
      <c r="G14" s="31">
        <v>3.4787100000000001E-2</v>
      </c>
      <c r="H14" s="24" t="s">
        <v>146</v>
      </c>
    </row>
    <row r="15" spans="1:9" x14ac:dyDescent="0.2">
      <c r="A15" s="27">
        <v>9</v>
      </c>
      <c r="B15" s="28" t="s">
        <v>339</v>
      </c>
      <c r="C15" s="28" t="s">
        <v>340</v>
      </c>
      <c r="D15" s="28" t="s">
        <v>33</v>
      </c>
      <c r="E15" s="29">
        <v>1109000</v>
      </c>
      <c r="F15" s="30">
        <v>10935.849</v>
      </c>
      <c r="G15" s="31">
        <v>3.2951769999999998E-2</v>
      </c>
      <c r="H15" s="24" t="s">
        <v>146</v>
      </c>
    </row>
    <row r="16" spans="1:9" x14ac:dyDescent="0.2">
      <c r="A16" s="27">
        <v>10</v>
      </c>
      <c r="B16" s="28" t="s">
        <v>48</v>
      </c>
      <c r="C16" s="28" t="s">
        <v>49</v>
      </c>
      <c r="D16" s="28" t="s">
        <v>33</v>
      </c>
      <c r="E16" s="29">
        <v>1307239</v>
      </c>
      <c r="F16" s="30">
        <v>10103.650231</v>
      </c>
      <c r="G16" s="31">
        <v>3.0444200000000001E-2</v>
      </c>
      <c r="H16" s="24" t="s">
        <v>146</v>
      </c>
    </row>
    <row r="17" spans="1:8" x14ac:dyDescent="0.2">
      <c r="A17" s="27">
        <v>11</v>
      </c>
      <c r="B17" s="28" t="s">
        <v>726</v>
      </c>
      <c r="C17" s="28" t="s">
        <v>727</v>
      </c>
      <c r="D17" s="28" t="s">
        <v>280</v>
      </c>
      <c r="E17" s="29">
        <v>543333</v>
      </c>
      <c r="F17" s="30">
        <v>10097.843805</v>
      </c>
      <c r="G17" s="31">
        <v>3.0426700000000001E-2</v>
      </c>
      <c r="H17" s="24" t="s">
        <v>146</v>
      </c>
    </row>
    <row r="18" spans="1:8" x14ac:dyDescent="0.2">
      <c r="A18" s="27">
        <v>12</v>
      </c>
      <c r="B18" s="28" t="s">
        <v>530</v>
      </c>
      <c r="C18" s="28" t="s">
        <v>531</v>
      </c>
      <c r="D18" s="28" t="s">
        <v>195</v>
      </c>
      <c r="E18" s="29">
        <v>596688</v>
      </c>
      <c r="F18" s="30">
        <v>9991.2422160000006</v>
      </c>
      <c r="G18" s="31">
        <v>3.0105489999999999E-2</v>
      </c>
      <c r="H18" s="24" t="s">
        <v>146</v>
      </c>
    </row>
    <row r="19" spans="1:8" x14ac:dyDescent="0.2">
      <c r="A19" s="27">
        <v>13</v>
      </c>
      <c r="B19" s="28" t="s">
        <v>333</v>
      </c>
      <c r="C19" s="28" t="s">
        <v>334</v>
      </c>
      <c r="D19" s="28" t="s">
        <v>33</v>
      </c>
      <c r="E19" s="29">
        <v>496353</v>
      </c>
      <c r="F19" s="30">
        <v>9437.1595890000008</v>
      </c>
      <c r="G19" s="31">
        <v>2.8435930000000002E-2</v>
      </c>
      <c r="H19" s="24" t="s">
        <v>146</v>
      </c>
    </row>
    <row r="20" spans="1:8" x14ac:dyDescent="0.2">
      <c r="A20" s="27">
        <v>14</v>
      </c>
      <c r="B20" s="28" t="s">
        <v>448</v>
      </c>
      <c r="C20" s="28" t="s">
        <v>449</v>
      </c>
      <c r="D20" s="28" t="s">
        <v>33</v>
      </c>
      <c r="E20" s="29">
        <v>861057</v>
      </c>
      <c r="F20" s="30">
        <v>8534.7969840000005</v>
      </c>
      <c r="G20" s="31">
        <v>2.5716949999999999E-2</v>
      </c>
      <c r="H20" s="24" t="s">
        <v>146</v>
      </c>
    </row>
    <row r="21" spans="1:8" x14ac:dyDescent="0.2">
      <c r="A21" s="27">
        <v>15</v>
      </c>
      <c r="B21" s="28" t="s">
        <v>526</v>
      </c>
      <c r="C21" s="28" t="s">
        <v>527</v>
      </c>
      <c r="D21" s="28" t="s">
        <v>275</v>
      </c>
      <c r="E21" s="29">
        <v>66000</v>
      </c>
      <c r="F21" s="30">
        <v>8125.0290000000005</v>
      </c>
      <c r="G21" s="31">
        <v>2.4482239999999999E-2</v>
      </c>
      <c r="H21" s="24" t="s">
        <v>146</v>
      </c>
    </row>
    <row r="22" spans="1:8" ht="25.5" x14ac:dyDescent="0.2">
      <c r="A22" s="27">
        <v>16</v>
      </c>
      <c r="B22" s="28" t="s">
        <v>23</v>
      </c>
      <c r="C22" s="28" t="s">
        <v>24</v>
      </c>
      <c r="D22" s="28" t="s">
        <v>25</v>
      </c>
      <c r="E22" s="29">
        <v>62000</v>
      </c>
      <c r="F22" s="30">
        <v>7122.2190000000001</v>
      </c>
      <c r="G22" s="31">
        <v>2.146058E-2</v>
      </c>
      <c r="H22" s="24" t="s">
        <v>146</v>
      </c>
    </row>
    <row r="23" spans="1:8" x14ac:dyDescent="0.2">
      <c r="A23" s="27">
        <v>17</v>
      </c>
      <c r="B23" s="28" t="s">
        <v>273</v>
      </c>
      <c r="C23" s="28" t="s">
        <v>274</v>
      </c>
      <c r="D23" s="28" t="s">
        <v>275</v>
      </c>
      <c r="E23" s="29">
        <v>278803</v>
      </c>
      <c r="F23" s="30">
        <v>6852.6989370000001</v>
      </c>
      <c r="G23" s="31">
        <v>2.0648469999999999E-2</v>
      </c>
      <c r="H23" s="24" t="s">
        <v>146</v>
      </c>
    </row>
    <row r="24" spans="1:8" x14ac:dyDescent="0.2">
      <c r="A24" s="27">
        <v>18</v>
      </c>
      <c r="B24" s="28" t="s">
        <v>761</v>
      </c>
      <c r="C24" s="28" t="s">
        <v>762</v>
      </c>
      <c r="D24" s="28" t="s">
        <v>205</v>
      </c>
      <c r="E24" s="29">
        <v>185019</v>
      </c>
      <c r="F24" s="30">
        <v>6780.2987835000004</v>
      </c>
      <c r="G24" s="31">
        <v>2.043031E-2</v>
      </c>
      <c r="H24" s="24" t="s">
        <v>146</v>
      </c>
    </row>
    <row r="25" spans="1:8" x14ac:dyDescent="0.2">
      <c r="A25" s="27">
        <v>19</v>
      </c>
      <c r="B25" s="28" t="s">
        <v>343</v>
      </c>
      <c r="C25" s="28" t="s">
        <v>344</v>
      </c>
      <c r="D25" s="28" t="s">
        <v>226</v>
      </c>
      <c r="E25" s="29">
        <v>1187500</v>
      </c>
      <c r="F25" s="30">
        <v>6373.90625</v>
      </c>
      <c r="G25" s="31">
        <v>1.9205779999999999E-2</v>
      </c>
      <c r="H25" s="24" t="s">
        <v>146</v>
      </c>
    </row>
    <row r="26" spans="1:8" x14ac:dyDescent="0.2">
      <c r="A26" s="27">
        <v>20</v>
      </c>
      <c r="B26" s="28" t="s">
        <v>20</v>
      </c>
      <c r="C26" s="28" t="s">
        <v>21</v>
      </c>
      <c r="D26" s="28" t="s">
        <v>22</v>
      </c>
      <c r="E26" s="29">
        <v>1967000</v>
      </c>
      <c r="F26" s="30">
        <v>6373.08</v>
      </c>
      <c r="G26" s="31">
        <v>1.9203290000000001E-2</v>
      </c>
      <c r="H26" s="24" t="s">
        <v>146</v>
      </c>
    </row>
    <row r="27" spans="1:8" x14ac:dyDescent="0.2">
      <c r="A27" s="27">
        <v>21</v>
      </c>
      <c r="B27" s="28" t="s">
        <v>78</v>
      </c>
      <c r="C27" s="28" t="s">
        <v>79</v>
      </c>
      <c r="D27" s="28" t="s">
        <v>80</v>
      </c>
      <c r="E27" s="29">
        <v>145000</v>
      </c>
      <c r="F27" s="30">
        <v>6270.3074999999999</v>
      </c>
      <c r="G27" s="31">
        <v>1.8893610000000002E-2</v>
      </c>
      <c r="H27" s="24" t="s">
        <v>146</v>
      </c>
    </row>
    <row r="28" spans="1:8" x14ac:dyDescent="0.2">
      <c r="A28" s="27">
        <v>22</v>
      </c>
      <c r="B28" s="28" t="s">
        <v>528</v>
      </c>
      <c r="C28" s="28" t="s">
        <v>529</v>
      </c>
      <c r="D28" s="28" t="s">
        <v>275</v>
      </c>
      <c r="E28" s="29">
        <v>70454</v>
      </c>
      <c r="F28" s="30">
        <v>6233.6290120000003</v>
      </c>
      <c r="G28" s="31">
        <v>1.8783089999999999E-2</v>
      </c>
      <c r="H28" s="24" t="s">
        <v>146</v>
      </c>
    </row>
    <row r="29" spans="1:8" x14ac:dyDescent="0.2">
      <c r="A29" s="27">
        <v>23</v>
      </c>
      <c r="B29" s="28" t="s">
        <v>445</v>
      </c>
      <c r="C29" s="28" t="s">
        <v>446</v>
      </c>
      <c r="D29" s="28" t="s">
        <v>447</v>
      </c>
      <c r="E29" s="29">
        <v>1033842</v>
      </c>
      <c r="F29" s="30">
        <v>6144.1230059999998</v>
      </c>
      <c r="G29" s="31">
        <v>1.8513399999999999E-2</v>
      </c>
      <c r="H29" s="24" t="s">
        <v>146</v>
      </c>
    </row>
    <row r="30" spans="1:8" x14ac:dyDescent="0.2">
      <c r="A30" s="27">
        <v>24</v>
      </c>
      <c r="B30" s="28" t="s">
        <v>435</v>
      </c>
      <c r="C30" s="28" t="s">
        <v>436</v>
      </c>
      <c r="D30" s="28" t="s">
        <v>195</v>
      </c>
      <c r="E30" s="29">
        <v>285965</v>
      </c>
      <c r="F30" s="30">
        <v>4934.1830925000004</v>
      </c>
      <c r="G30" s="31">
        <v>1.486762E-2</v>
      </c>
      <c r="H30" s="24" t="s">
        <v>146</v>
      </c>
    </row>
    <row r="31" spans="1:8" x14ac:dyDescent="0.2">
      <c r="A31" s="27">
        <v>25</v>
      </c>
      <c r="B31" s="28" t="s">
        <v>221</v>
      </c>
      <c r="C31" s="28" t="s">
        <v>222</v>
      </c>
      <c r="D31" s="28" t="s">
        <v>223</v>
      </c>
      <c r="E31" s="29">
        <v>586911</v>
      </c>
      <c r="F31" s="30">
        <v>4131.2665290000004</v>
      </c>
      <c r="G31" s="31">
        <v>1.2448280000000001E-2</v>
      </c>
      <c r="H31" s="24" t="s">
        <v>146</v>
      </c>
    </row>
    <row r="32" spans="1:8" x14ac:dyDescent="0.2">
      <c r="A32" s="27">
        <v>26</v>
      </c>
      <c r="B32" s="28" t="s">
        <v>234</v>
      </c>
      <c r="C32" s="28" t="s">
        <v>235</v>
      </c>
      <c r="D32" s="28" t="s">
        <v>205</v>
      </c>
      <c r="E32" s="29">
        <v>47000</v>
      </c>
      <c r="F32" s="30">
        <v>3630.1390000000001</v>
      </c>
      <c r="G32" s="31">
        <v>1.093829E-2</v>
      </c>
      <c r="H32" s="24" t="s">
        <v>146</v>
      </c>
    </row>
    <row r="33" spans="1:8" x14ac:dyDescent="0.2">
      <c r="A33" s="27">
        <v>27</v>
      </c>
      <c r="B33" s="28" t="s">
        <v>433</v>
      </c>
      <c r="C33" s="28" t="s">
        <v>434</v>
      </c>
      <c r="D33" s="28" t="s">
        <v>280</v>
      </c>
      <c r="E33" s="29">
        <v>229431</v>
      </c>
      <c r="F33" s="30">
        <v>3403.8383159999998</v>
      </c>
      <c r="G33" s="31">
        <v>1.0256400000000001E-2</v>
      </c>
      <c r="H33" s="24" t="s">
        <v>146</v>
      </c>
    </row>
    <row r="34" spans="1:8" x14ac:dyDescent="0.2">
      <c r="A34" s="27">
        <v>28</v>
      </c>
      <c r="B34" s="28" t="s">
        <v>331</v>
      </c>
      <c r="C34" s="28" t="s">
        <v>332</v>
      </c>
      <c r="D34" s="28" t="s">
        <v>205</v>
      </c>
      <c r="E34" s="29">
        <v>1538000</v>
      </c>
      <c r="F34" s="30">
        <v>3388.9830000000002</v>
      </c>
      <c r="G34" s="31">
        <v>1.0211639999999999E-2</v>
      </c>
      <c r="H34" s="24" t="s">
        <v>146</v>
      </c>
    </row>
    <row r="35" spans="1:8" x14ac:dyDescent="0.2">
      <c r="A35" s="27">
        <v>29</v>
      </c>
      <c r="B35" s="28" t="s">
        <v>524</v>
      </c>
      <c r="C35" s="28" t="s">
        <v>525</v>
      </c>
      <c r="D35" s="28" t="s">
        <v>226</v>
      </c>
      <c r="E35" s="29">
        <v>237000</v>
      </c>
      <c r="F35" s="30">
        <v>3374.88</v>
      </c>
      <c r="G35" s="31">
        <v>1.016915E-2</v>
      </c>
      <c r="H35" s="24" t="s">
        <v>146</v>
      </c>
    </row>
    <row r="36" spans="1:8" x14ac:dyDescent="0.2">
      <c r="A36" s="27">
        <v>30</v>
      </c>
      <c r="B36" s="28" t="s">
        <v>363</v>
      </c>
      <c r="C36" s="28" t="s">
        <v>364</v>
      </c>
      <c r="D36" s="28" t="s">
        <v>39</v>
      </c>
      <c r="E36" s="29">
        <v>95000</v>
      </c>
      <c r="F36" s="30">
        <v>3315.7375000000002</v>
      </c>
      <c r="G36" s="31">
        <v>9.9909400000000002E-3</v>
      </c>
      <c r="H36" s="24" t="s">
        <v>146</v>
      </c>
    </row>
    <row r="37" spans="1:8" x14ac:dyDescent="0.2">
      <c r="A37" s="27">
        <v>31</v>
      </c>
      <c r="B37" s="28" t="s">
        <v>92</v>
      </c>
      <c r="C37" s="28" t="s">
        <v>93</v>
      </c>
      <c r="D37" s="28" t="s">
        <v>83</v>
      </c>
      <c r="E37" s="29">
        <v>79044</v>
      </c>
      <c r="F37" s="30">
        <v>3301.8259680000001</v>
      </c>
      <c r="G37" s="31">
        <v>9.9490199999999994E-3</v>
      </c>
      <c r="H37" s="24" t="s">
        <v>146</v>
      </c>
    </row>
    <row r="38" spans="1:8" ht="25.5" x14ac:dyDescent="0.2">
      <c r="A38" s="27">
        <v>32</v>
      </c>
      <c r="B38" s="28" t="s">
        <v>443</v>
      </c>
      <c r="C38" s="28" t="s">
        <v>444</v>
      </c>
      <c r="D38" s="28" t="s">
        <v>218</v>
      </c>
      <c r="E38" s="29">
        <v>319989</v>
      </c>
      <c r="F38" s="30">
        <v>3278.7672885000002</v>
      </c>
      <c r="G38" s="31">
        <v>9.8795399999999992E-3</v>
      </c>
      <c r="H38" s="24" t="s">
        <v>146</v>
      </c>
    </row>
    <row r="39" spans="1:8" x14ac:dyDescent="0.2">
      <c r="A39" s="27">
        <v>33</v>
      </c>
      <c r="B39" s="28" t="s">
        <v>315</v>
      </c>
      <c r="C39" s="28" t="s">
        <v>316</v>
      </c>
      <c r="D39" s="28" t="s">
        <v>39</v>
      </c>
      <c r="E39" s="29">
        <v>281548</v>
      </c>
      <c r="F39" s="30">
        <v>2791.2668720000001</v>
      </c>
      <c r="G39" s="31">
        <v>8.4106100000000007E-3</v>
      </c>
      <c r="H39" s="24" t="s">
        <v>146</v>
      </c>
    </row>
    <row r="40" spans="1:8" x14ac:dyDescent="0.2">
      <c r="A40" s="27">
        <v>34</v>
      </c>
      <c r="B40" s="28" t="s">
        <v>52</v>
      </c>
      <c r="C40" s="28" t="s">
        <v>53</v>
      </c>
      <c r="D40" s="28" t="s">
        <v>42</v>
      </c>
      <c r="E40" s="29">
        <v>51736</v>
      </c>
      <c r="F40" s="30">
        <v>2081.6496959999999</v>
      </c>
      <c r="G40" s="31">
        <v>6.2724E-3</v>
      </c>
      <c r="H40" s="24" t="s">
        <v>146</v>
      </c>
    </row>
    <row r="41" spans="1:8" x14ac:dyDescent="0.2">
      <c r="A41" s="25"/>
      <c r="B41" s="25"/>
      <c r="C41" s="26" t="s">
        <v>145</v>
      </c>
      <c r="D41" s="25"/>
      <c r="E41" s="25" t="s">
        <v>146</v>
      </c>
      <c r="F41" s="32">
        <v>318047.92781999998</v>
      </c>
      <c r="G41" s="33">
        <v>0.95833813000000001</v>
      </c>
      <c r="H41" s="24" t="s">
        <v>146</v>
      </c>
    </row>
    <row r="42" spans="1:8" x14ac:dyDescent="0.2">
      <c r="A42" s="25"/>
      <c r="B42" s="25"/>
      <c r="C42" s="34"/>
      <c r="D42" s="25"/>
      <c r="E42" s="25"/>
      <c r="F42" s="35"/>
      <c r="G42" s="35"/>
      <c r="H42" s="24" t="s">
        <v>146</v>
      </c>
    </row>
    <row r="43" spans="1:8" x14ac:dyDescent="0.2">
      <c r="A43" s="25"/>
      <c r="B43" s="25"/>
      <c r="C43" s="26" t="s">
        <v>147</v>
      </c>
      <c r="D43" s="25"/>
      <c r="E43" s="25"/>
      <c r="F43" s="25"/>
      <c r="G43" s="25"/>
      <c r="H43" s="24" t="s">
        <v>146</v>
      </c>
    </row>
    <row r="44" spans="1:8" x14ac:dyDescent="0.2">
      <c r="A44" s="25"/>
      <c r="B44" s="25"/>
      <c r="C44" s="26" t="s">
        <v>145</v>
      </c>
      <c r="D44" s="25"/>
      <c r="E44" s="25" t="s">
        <v>146</v>
      </c>
      <c r="F44" s="36" t="s">
        <v>148</v>
      </c>
      <c r="G44" s="33">
        <v>0</v>
      </c>
      <c r="H44" s="24" t="s">
        <v>146</v>
      </c>
    </row>
    <row r="45" spans="1:8" x14ac:dyDescent="0.2">
      <c r="A45" s="25"/>
      <c r="B45" s="25"/>
      <c r="C45" s="34"/>
      <c r="D45" s="25"/>
      <c r="E45" s="25"/>
      <c r="F45" s="35"/>
      <c r="G45" s="35"/>
      <c r="H45" s="24" t="s">
        <v>146</v>
      </c>
    </row>
    <row r="46" spans="1:8" x14ac:dyDescent="0.2">
      <c r="A46" s="25"/>
      <c r="B46" s="25"/>
      <c r="C46" s="26" t="s">
        <v>149</v>
      </c>
      <c r="D46" s="25"/>
      <c r="E46" s="25"/>
      <c r="F46" s="25"/>
      <c r="G46" s="25"/>
      <c r="H46" s="24" t="s">
        <v>146</v>
      </c>
    </row>
    <row r="47" spans="1:8" x14ac:dyDescent="0.2">
      <c r="A47" s="25"/>
      <c r="B47" s="25"/>
      <c r="C47" s="26" t="s">
        <v>145</v>
      </c>
      <c r="D47" s="25"/>
      <c r="E47" s="25" t="s">
        <v>146</v>
      </c>
      <c r="F47" s="36" t="s">
        <v>148</v>
      </c>
      <c r="G47" s="33">
        <v>0</v>
      </c>
      <c r="H47" s="24" t="s">
        <v>146</v>
      </c>
    </row>
    <row r="48" spans="1:8" x14ac:dyDescent="0.2">
      <c r="A48" s="25"/>
      <c r="B48" s="25"/>
      <c r="C48" s="34"/>
      <c r="D48" s="25"/>
      <c r="E48" s="25"/>
      <c r="F48" s="35"/>
      <c r="G48" s="35"/>
      <c r="H48" s="24" t="s">
        <v>146</v>
      </c>
    </row>
    <row r="49" spans="1:8" x14ac:dyDescent="0.2">
      <c r="A49" s="25"/>
      <c r="B49" s="25"/>
      <c r="C49" s="26" t="s">
        <v>150</v>
      </c>
      <c r="D49" s="25"/>
      <c r="E49" s="25"/>
      <c r="F49" s="25"/>
      <c r="G49" s="25"/>
      <c r="H49" s="24" t="s">
        <v>146</v>
      </c>
    </row>
    <row r="50" spans="1:8" x14ac:dyDescent="0.2">
      <c r="A50" s="25"/>
      <c r="B50" s="25"/>
      <c r="C50" s="26" t="s">
        <v>145</v>
      </c>
      <c r="D50" s="25"/>
      <c r="E50" s="25" t="s">
        <v>146</v>
      </c>
      <c r="F50" s="36" t="s">
        <v>148</v>
      </c>
      <c r="G50" s="33">
        <v>0</v>
      </c>
      <c r="H50" s="24" t="s">
        <v>146</v>
      </c>
    </row>
    <row r="51" spans="1:8" x14ac:dyDescent="0.2">
      <c r="A51" s="25"/>
      <c r="B51" s="25"/>
      <c r="C51" s="34"/>
      <c r="D51" s="25"/>
      <c r="E51" s="25"/>
      <c r="F51" s="35"/>
      <c r="G51" s="35"/>
      <c r="H51" s="24" t="s">
        <v>146</v>
      </c>
    </row>
    <row r="52" spans="1:8" x14ac:dyDescent="0.2">
      <c r="A52" s="25"/>
      <c r="B52" s="25"/>
      <c r="C52" s="26" t="s">
        <v>151</v>
      </c>
      <c r="D52" s="25"/>
      <c r="E52" s="25"/>
      <c r="F52" s="35"/>
      <c r="G52" s="35"/>
      <c r="H52" s="24" t="s">
        <v>146</v>
      </c>
    </row>
    <row r="53" spans="1:8" x14ac:dyDescent="0.2">
      <c r="A53" s="25"/>
      <c r="B53" s="25"/>
      <c r="C53" s="26" t="s">
        <v>145</v>
      </c>
      <c r="D53" s="25"/>
      <c r="E53" s="25" t="s">
        <v>146</v>
      </c>
      <c r="F53" s="36" t="s">
        <v>148</v>
      </c>
      <c r="G53" s="33">
        <v>0</v>
      </c>
      <c r="H53" s="24" t="s">
        <v>146</v>
      </c>
    </row>
    <row r="54" spans="1:8" x14ac:dyDescent="0.2">
      <c r="A54" s="25"/>
      <c r="B54" s="25"/>
      <c r="C54" s="34"/>
      <c r="D54" s="25"/>
      <c r="E54" s="25"/>
      <c r="F54" s="35"/>
      <c r="G54" s="35"/>
      <c r="H54" s="24" t="s">
        <v>146</v>
      </c>
    </row>
    <row r="55" spans="1:8" x14ac:dyDescent="0.2">
      <c r="A55" s="25"/>
      <c r="B55" s="25"/>
      <c r="C55" s="26" t="s">
        <v>152</v>
      </c>
      <c r="D55" s="25"/>
      <c r="E55" s="25"/>
      <c r="F55" s="35"/>
      <c r="G55" s="35"/>
      <c r="H55" s="24" t="s">
        <v>146</v>
      </c>
    </row>
    <row r="56" spans="1:8" x14ac:dyDescent="0.2">
      <c r="A56" s="25"/>
      <c r="B56" s="25"/>
      <c r="C56" s="26" t="s">
        <v>145</v>
      </c>
      <c r="D56" s="25"/>
      <c r="E56" s="25" t="s">
        <v>146</v>
      </c>
      <c r="F56" s="36" t="s">
        <v>148</v>
      </c>
      <c r="G56" s="33">
        <v>0</v>
      </c>
      <c r="H56" s="24" t="s">
        <v>146</v>
      </c>
    </row>
    <row r="57" spans="1:8" x14ac:dyDescent="0.2">
      <c r="A57" s="25"/>
      <c r="B57" s="25"/>
      <c r="C57" s="34"/>
      <c r="D57" s="25"/>
      <c r="E57" s="25"/>
      <c r="F57" s="35"/>
      <c r="G57" s="35"/>
      <c r="H57" s="24" t="s">
        <v>146</v>
      </c>
    </row>
    <row r="58" spans="1:8" x14ac:dyDescent="0.2">
      <c r="A58" s="25"/>
      <c r="B58" s="25"/>
      <c r="C58" s="26" t="s">
        <v>153</v>
      </c>
      <c r="D58" s="25"/>
      <c r="E58" s="25"/>
      <c r="F58" s="32">
        <v>318047.92781999998</v>
      </c>
      <c r="G58" s="33">
        <v>0.95833813000000001</v>
      </c>
      <c r="H58" s="24" t="s">
        <v>146</v>
      </c>
    </row>
    <row r="59" spans="1:8" x14ac:dyDescent="0.2">
      <c r="A59" s="25"/>
      <c r="B59" s="25"/>
      <c r="C59" s="34"/>
      <c r="D59" s="25"/>
      <c r="E59" s="25"/>
      <c r="F59" s="35"/>
      <c r="G59" s="35"/>
      <c r="H59" s="24" t="s">
        <v>146</v>
      </c>
    </row>
    <row r="60" spans="1:8" x14ac:dyDescent="0.2">
      <c r="A60" s="25"/>
      <c r="B60" s="25"/>
      <c r="C60" s="26" t="s">
        <v>154</v>
      </c>
      <c r="D60" s="25"/>
      <c r="E60" s="25"/>
      <c r="F60" s="35"/>
      <c r="G60" s="35"/>
      <c r="H60" s="24" t="s">
        <v>146</v>
      </c>
    </row>
    <row r="61" spans="1:8" x14ac:dyDescent="0.2">
      <c r="A61" s="25"/>
      <c r="B61" s="25"/>
      <c r="C61" s="26" t="s">
        <v>10</v>
      </c>
      <c r="D61" s="25"/>
      <c r="E61" s="25"/>
      <c r="F61" s="35"/>
      <c r="G61" s="35"/>
      <c r="H61" s="24" t="s">
        <v>146</v>
      </c>
    </row>
    <row r="62" spans="1:8" x14ac:dyDescent="0.2">
      <c r="A62" s="25"/>
      <c r="B62" s="25"/>
      <c r="C62" s="26" t="s">
        <v>145</v>
      </c>
      <c r="D62" s="25"/>
      <c r="E62" s="25" t="s">
        <v>146</v>
      </c>
      <c r="F62" s="36" t="s">
        <v>148</v>
      </c>
      <c r="G62" s="33">
        <v>0</v>
      </c>
      <c r="H62" s="24" t="s">
        <v>146</v>
      </c>
    </row>
    <row r="63" spans="1:8" x14ac:dyDescent="0.2">
      <c r="A63" s="25"/>
      <c r="B63" s="25"/>
      <c r="C63" s="34"/>
      <c r="D63" s="25"/>
      <c r="E63" s="25"/>
      <c r="F63" s="35"/>
      <c r="G63" s="35"/>
      <c r="H63" s="24" t="s">
        <v>146</v>
      </c>
    </row>
    <row r="64" spans="1:8" x14ac:dyDescent="0.2">
      <c r="A64" s="25"/>
      <c r="B64" s="25"/>
      <c r="C64" s="26" t="s">
        <v>155</v>
      </c>
      <c r="D64" s="25"/>
      <c r="E64" s="25"/>
      <c r="F64" s="25"/>
      <c r="G64" s="25"/>
      <c r="H64" s="24" t="s">
        <v>146</v>
      </c>
    </row>
    <row r="65" spans="1:8" x14ac:dyDescent="0.2">
      <c r="A65" s="25"/>
      <c r="B65" s="25"/>
      <c r="C65" s="26" t="s">
        <v>145</v>
      </c>
      <c r="D65" s="25"/>
      <c r="E65" s="25" t="s">
        <v>146</v>
      </c>
      <c r="F65" s="36" t="s">
        <v>148</v>
      </c>
      <c r="G65" s="33">
        <v>0</v>
      </c>
      <c r="H65" s="24" t="s">
        <v>146</v>
      </c>
    </row>
    <row r="66" spans="1:8" x14ac:dyDescent="0.2">
      <c r="A66" s="25"/>
      <c r="B66" s="25"/>
      <c r="C66" s="34"/>
      <c r="D66" s="25"/>
      <c r="E66" s="25"/>
      <c r="F66" s="35"/>
      <c r="G66" s="35"/>
      <c r="H66" s="24" t="s">
        <v>146</v>
      </c>
    </row>
    <row r="67" spans="1:8" x14ac:dyDescent="0.2">
      <c r="A67" s="25"/>
      <c r="B67" s="25"/>
      <c r="C67" s="26" t="s">
        <v>156</v>
      </c>
      <c r="D67" s="25"/>
      <c r="E67" s="25"/>
      <c r="F67" s="25"/>
      <c r="G67" s="25"/>
      <c r="H67" s="24" t="s">
        <v>146</v>
      </c>
    </row>
    <row r="68" spans="1:8" x14ac:dyDescent="0.2">
      <c r="A68" s="25"/>
      <c r="B68" s="25"/>
      <c r="C68" s="26" t="s">
        <v>145</v>
      </c>
      <c r="D68" s="25"/>
      <c r="E68" s="25" t="s">
        <v>146</v>
      </c>
      <c r="F68" s="36" t="s">
        <v>148</v>
      </c>
      <c r="G68" s="33">
        <v>0</v>
      </c>
      <c r="H68" s="24" t="s">
        <v>146</v>
      </c>
    </row>
    <row r="69" spans="1:8" x14ac:dyDescent="0.2">
      <c r="A69" s="25"/>
      <c r="B69" s="25"/>
      <c r="C69" s="34"/>
      <c r="D69" s="25"/>
      <c r="E69" s="25"/>
      <c r="F69" s="35"/>
      <c r="G69" s="35"/>
      <c r="H69" s="24" t="s">
        <v>146</v>
      </c>
    </row>
    <row r="70" spans="1:8" x14ac:dyDescent="0.2">
      <c r="A70" s="25"/>
      <c r="B70" s="25"/>
      <c r="C70" s="26" t="s">
        <v>157</v>
      </c>
      <c r="D70" s="25"/>
      <c r="E70" s="25"/>
      <c r="F70" s="35"/>
      <c r="G70" s="35"/>
      <c r="H70" s="24" t="s">
        <v>146</v>
      </c>
    </row>
    <row r="71" spans="1:8" x14ac:dyDescent="0.2">
      <c r="A71" s="25"/>
      <c r="B71" s="25"/>
      <c r="C71" s="26" t="s">
        <v>145</v>
      </c>
      <c r="D71" s="25"/>
      <c r="E71" s="25" t="s">
        <v>146</v>
      </c>
      <c r="F71" s="36" t="s">
        <v>148</v>
      </c>
      <c r="G71" s="33">
        <v>0</v>
      </c>
      <c r="H71" s="24" t="s">
        <v>146</v>
      </c>
    </row>
    <row r="72" spans="1:8" x14ac:dyDescent="0.2">
      <c r="A72" s="25"/>
      <c r="B72" s="25"/>
      <c r="C72" s="34"/>
      <c r="D72" s="25"/>
      <c r="E72" s="25"/>
      <c r="F72" s="35"/>
      <c r="G72" s="35"/>
      <c r="H72" s="24" t="s">
        <v>146</v>
      </c>
    </row>
    <row r="73" spans="1:8" x14ac:dyDescent="0.2">
      <c r="A73" s="25"/>
      <c r="B73" s="25"/>
      <c r="C73" s="26" t="s">
        <v>158</v>
      </c>
      <c r="D73" s="25"/>
      <c r="E73" s="25"/>
      <c r="F73" s="32">
        <v>0</v>
      </c>
      <c r="G73" s="33">
        <v>0</v>
      </c>
      <c r="H73" s="24" t="s">
        <v>146</v>
      </c>
    </row>
    <row r="74" spans="1:8" x14ac:dyDescent="0.2">
      <c r="A74" s="25"/>
      <c r="B74" s="25"/>
      <c r="C74" s="34"/>
      <c r="D74" s="25"/>
      <c r="E74" s="25"/>
      <c r="F74" s="35"/>
      <c r="G74" s="35"/>
      <c r="H74" s="24" t="s">
        <v>146</v>
      </c>
    </row>
    <row r="75" spans="1:8" x14ac:dyDescent="0.2">
      <c r="A75" s="25"/>
      <c r="B75" s="25"/>
      <c r="C75" s="26" t="s">
        <v>159</v>
      </c>
      <c r="D75" s="25"/>
      <c r="E75" s="25"/>
      <c r="F75" s="35"/>
      <c r="G75" s="35"/>
      <c r="H75" s="24" t="s">
        <v>146</v>
      </c>
    </row>
    <row r="76" spans="1:8" x14ac:dyDescent="0.2">
      <c r="A76" s="25"/>
      <c r="B76" s="25"/>
      <c r="C76" s="26" t="s">
        <v>160</v>
      </c>
      <c r="D76" s="25"/>
      <c r="E76" s="25"/>
      <c r="F76" s="35"/>
      <c r="G76" s="35"/>
      <c r="H76" s="24" t="s">
        <v>146</v>
      </c>
    </row>
    <row r="77" spans="1:8" x14ac:dyDescent="0.2">
      <c r="A77" s="25"/>
      <c r="B77" s="25"/>
      <c r="C77" s="26" t="s">
        <v>145</v>
      </c>
      <c r="D77" s="25"/>
      <c r="E77" s="25" t="s">
        <v>146</v>
      </c>
      <c r="F77" s="36" t="s">
        <v>148</v>
      </c>
      <c r="G77" s="33">
        <v>0</v>
      </c>
      <c r="H77" s="24" t="s">
        <v>146</v>
      </c>
    </row>
    <row r="78" spans="1:8" x14ac:dyDescent="0.2">
      <c r="A78" s="25"/>
      <c r="B78" s="25"/>
      <c r="C78" s="34"/>
      <c r="D78" s="25"/>
      <c r="E78" s="25"/>
      <c r="F78" s="35"/>
      <c r="G78" s="35"/>
      <c r="H78" s="24" t="s">
        <v>146</v>
      </c>
    </row>
    <row r="79" spans="1:8" x14ac:dyDescent="0.2">
      <c r="A79" s="25"/>
      <c r="B79" s="25"/>
      <c r="C79" s="26" t="s">
        <v>161</v>
      </c>
      <c r="D79" s="25"/>
      <c r="E79" s="25"/>
      <c r="F79" s="35"/>
      <c r="G79" s="35"/>
      <c r="H79" s="24" t="s">
        <v>146</v>
      </c>
    </row>
    <row r="80" spans="1:8" x14ac:dyDescent="0.2">
      <c r="A80" s="25"/>
      <c r="B80" s="25"/>
      <c r="C80" s="26" t="s">
        <v>145</v>
      </c>
      <c r="D80" s="25"/>
      <c r="E80" s="25" t="s">
        <v>146</v>
      </c>
      <c r="F80" s="36" t="s">
        <v>148</v>
      </c>
      <c r="G80" s="33">
        <v>0</v>
      </c>
      <c r="H80" s="24" t="s">
        <v>146</v>
      </c>
    </row>
    <row r="81" spans="1:8" x14ac:dyDescent="0.2">
      <c r="A81" s="25"/>
      <c r="B81" s="25"/>
      <c r="C81" s="34"/>
      <c r="D81" s="25"/>
      <c r="E81" s="25"/>
      <c r="F81" s="35"/>
      <c r="G81" s="35"/>
      <c r="H81" s="24" t="s">
        <v>146</v>
      </c>
    </row>
    <row r="82" spans="1:8" x14ac:dyDescent="0.2">
      <c r="A82" s="25"/>
      <c r="B82" s="25"/>
      <c r="C82" s="26" t="s">
        <v>162</v>
      </c>
      <c r="D82" s="25"/>
      <c r="E82" s="25"/>
      <c r="F82" s="35"/>
      <c r="G82" s="35"/>
      <c r="H82" s="24" t="s">
        <v>146</v>
      </c>
    </row>
    <row r="83" spans="1:8" x14ac:dyDescent="0.2">
      <c r="A83" s="25"/>
      <c r="B83" s="25"/>
      <c r="C83" s="26" t="s">
        <v>145</v>
      </c>
      <c r="D83" s="25"/>
      <c r="E83" s="25" t="s">
        <v>146</v>
      </c>
      <c r="F83" s="36" t="s">
        <v>148</v>
      </c>
      <c r="G83" s="33">
        <v>0</v>
      </c>
      <c r="H83" s="24" t="s">
        <v>146</v>
      </c>
    </row>
    <row r="84" spans="1:8" x14ac:dyDescent="0.2">
      <c r="A84" s="25"/>
      <c r="B84" s="25"/>
      <c r="C84" s="34"/>
      <c r="D84" s="25"/>
      <c r="E84" s="25"/>
      <c r="F84" s="35"/>
      <c r="G84" s="35"/>
      <c r="H84" s="24" t="s">
        <v>146</v>
      </c>
    </row>
    <row r="85" spans="1:8" x14ac:dyDescent="0.2">
      <c r="A85" s="25"/>
      <c r="B85" s="25"/>
      <c r="C85" s="26" t="s">
        <v>163</v>
      </c>
      <c r="D85" s="25"/>
      <c r="E85" s="25"/>
      <c r="F85" s="35"/>
      <c r="G85" s="35"/>
      <c r="H85" s="24" t="s">
        <v>146</v>
      </c>
    </row>
    <row r="86" spans="1:8" x14ac:dyDescent="0.2">
      <c r="A86" s="27">
        <v>1</v>
      </c>
      <c r="B86" s="28"/>
      <c r="C86" s="28" t="s">
        <v>164</v>
      </c>
      <c r="D86" s="28"/>
      <c r="E86" s="38"/>
      <c r="F86" s="30">
        <v>14901.473649715999</v>
      </c>
      <c r="G86" s="31">
        <v>4.490094E-2</v>
      </c>
      <c r="H86" s="24">
        <v>6.57</v>
      </c>
    </row>
    <row r="87" spans="1:8" x14ac:dyDescent="0.2">
      <c r="A87" s="25"/>
      <c r="B87" s="25"/>
      <c r="C87" s="26" t="s">
        <v>145</v>
      </c>
      <c r="D87" s="25"/>
      <c r="E87" s="25" t="s">
        <v>146</v>
      </c>
      <c r="F87" s="32">
        <v>14901.473649715999</v>
      </c>
      <c r="G87" s="33">
        <v>4.490094E-2</v>
      </c>
      <c r="H87" s="24" t="s">
        <v>146</v>
      </c>
    </row>
    <row r="88" spans="1:8" x14ac:dyDescent="0.2">
      <c r="A88" s="25"/>
      <c r="B88" s="25"/>
      <c r="C88" s="34"/>
      <c r="D88" s="25"/>
      <c r="E88" s="25"/>
      <c r="F88" s="35"/>
      <c r="G88" s="35"/>
      <c r="H88" s="24" t="s">
        <v>146</v>
      </c>
    </row>
    <row r="89" spans="1:8" x14ac:dyDescent="0.2">
      <c r="A89" s="25"/>
      <c r="B89" s="25"/>
      <c r="C89" s="26" t="s">
        <v>165</v>
      </c>
      <c r="D89" s="25"/>
      <c r="E89" s="25"/>
      <c r="F89" s="32">
        <v>14901.473649715999</v>
      </c>
      <c r="G89" s="33">
        <v>4.490094E-2</v>
      </c>
      <c r="H89" s="24" t="s">
        <v>146</v>
      </c>
    </row>
    <row r="90" spans="1:8" x14ac:dyDescent="0.2">
      <c r="A90" s="25"/>
      <c r="B90" s="25"/>
      <c r="C90" s="35"/>
      <c r="D90" s="25"/>
      <c r="E90" s="25"/>
      <c r="F90" s="25"/>
      <c r="G90" s="25"/>
      <c r="H90" s="24" t="s">
        <v>146</v>
      </c>
    </row>
    <row r="91" spans="1:8" x14ac:dyDescent="0.2">
      <c r="A91" s="25"/>
      <c r="B91" s="25"/>
      <c r="C91" s="26" t="s">
        <v>166</v>
      </c>
      <c r="D91" s="25"/>
      <c r="E91" s="25"/>
      <c r="F91" s="25"/>
      <c r="G91" s="25"/>
      <c r="H91" s="24" t="s">
        <v>146</v>
      </c>
    </row>
    <row r="92" spans="1:8" x14ac:dyDescent="0.2">
      <c r="A92" s="25"/>
      <c r="B92" s="25"/>
      <c r="C92" s="26" t="s">
        <v>167</v>
      </c>
      <c r="D92" s="25"/>
      <c r="E92" s="25"/>
      <c r="F92" s="25"/>
      <c r="G92" s="25"/>
      <c r="H92" s="24" t="s">
        <v>146</v>
      </c>
    </row>
    <row r="93" spans="1:8" x14ac:dyDescent="0.2">
      <c r="A93" s="25"/>
      <c r="B93" s="25"/>
      <c r="C93" s="26" t="s">
        <v>145</v>
      </c>
      <c r="D93" s="25"/>
      <c r="E93" s="25" t="s">
        <v>146</v>
      </c>
      <c r="F93" s="36" t="s">
        <v>148</v>
      </c>
      <c r="G93" s="33">
        <v>0</v>
      </c>
      <c r="H93" s="24" t="s">
        <v>146</v>
      </c>
    </row>
    <row r="94" spans="1:8" x14ac:dyDescent="0.2">
      <c r="A94" s="25"/>
      <c r="B94" s="25"/>
      <c r="C94" s="34"/>
      <c r="D94" s="25"/>
      <c r="E94" s="25"/>
      <c r="F94" s="35"/>
      <c r="G94" s="35"/>
      <c r="H94" s="24" t="s">
        <v>146</v>
      </c>
    </row>
    <row r="95" spans="1:8" x14ac:dyDescent="0.2">
      <c r="A95" s="25"/>
      <c r="B95" s="25"/>
      <c r="C95" s="26" t="s">
        <v>168</v>
      </c>
      <c r="D95" s="25"/>
      <c r="E95" s="25"/>
      <c r="F95" s="25"/>
      <c r="G95" s="25"/>
      <c r="H95" s="24" t="s">
        <v>146</v>
      </c>
    </row>
    <row r="96" spans="1:8" x14ac:dyDescent="0.2">
      <c r="A96" s="25"/>
      <c r="B96" s="25"/>
      <c r="C96" s="26" t="s">
        <v>169</v>
      </c>
      <c r="D96" s="25"/>
      <c r="E96" s="25"/>
      <c r="F96" s="25"/>
      <c r="G96" s="25"/>
      <c r="H96" s="24" t="s">
        <v>146</v>
      </c>
    </row>
    <row r="97" spans="1:17" x14ac:dyDescent="0.2">
      <c r="A97" s="25"/>
      <c r="B97" s="25"/>
      <c r="C97" s="26" t="s">
        <v>145</v>
      </c>
      <c r="D97" s="25"/>
      <c r="E97" s="25" t="s">
        <v>146</v>
      </c>
      <c r="F97" s="36" t="s">
        <v>148</v>
      </c>
      <c r="G97" s="33">
        <v>0</v>
      </c>
      <c r="H97" s="24" t="s">
        <v>146</v>
      </c>
    </row>
    <row r="98" spans="1:17" x14ac:dyDescent="0.2">
      <c r="A98" s="25"/>
      <c r="B98" s="25"/>
      <c r="C98" s="34"/>
      <c r="D98" s="25"/>
      <c r="E98" s="25"/>
      <c r="F98" s="35"/>
      <c r="G98" s="35"/>
      <c r="H98" s="24" t="s">
        <v>146</v>
      </c>
    </row>
    <row r="99" spans="1:17" x14ac:dyDescent="0.2">
      <c r="A99" s="25"/>
      <c r="B99" s="25"/>
      <c r="C99" s="26" t="s">
        <v>170</v>
      </c>
      <c r="D99" s="25"/>
      <c r="E99" s="25"/>
      <c r="F99" s="35"/>
      <c r="G99" s="35"/>
      <c r="H99" s="24" t="s">
        <v>146</v>
      </c>
    </row>
    <row r="100" spans="1:17" x14ac:dyDescent="0.2">
      <c r="A100" s="25"/>
      <c r="B100" s="25"/>
      <c r="C100" s="26" t="s">
        <v>145</v>
      </c>
      <c r="D100" s="25"/>
      <c r="E100" s="25" t="s">
        <v>146</v>
      </c>
      <c r="F100" s="36" t="s">
        <v>148</v>
      </c>
      <c r="G100" s="33">
        <v>0</v>
      </c>
      <c r="H100" s="24" t="s">
        <v>146</v>
      </c>
    </row>
    <row r="101" spans="1:17" x14ac:dyDescent="0.2">
      <c r="A101" s="25"/>
      <c r="B101" s="25"/>
      <c r="C101" s="34"/>
      <c r="D101" s="25"/>
      <c r="E101" s="25"/>
      <c r="F101" s="35"/>
      <c r="G101" s="35"/>
      <c r="H101" s="24" t="s">
        <v>146</v>
      </c>
    </row>
    <row r="102" spans="1:17" x14ac:dyDescent="0.2">
      <c r="A102" s="38"/>
      <c r="B102" s="28"/>
      <c r="C102" s="28" t="s">
        <v>171</v>
      </c>
      <c r="D102" s="28"/>
      <c r="E102" s="38"/>
      <c r="F102" s="30">
        <v>-1074.9584918999999</v>
      </c>
      <c r="G102" s="31">
        <v>-3.2390499999999998E-3</v>
      </c>
      <c r="H102" s="24" t="s">
        <v>146</v>
      </c>
    </row>
    <row r="103" spans="1:17" x14ac:dyDescent="0.2">
      <c r="A103" s="34"/>
      <c r="B103" s="34"/>
      <c r="C103" s="26" t="s">
        <v>172</v>
      </c>
      <c r="D103" s="35"/>
      <c r="E103" s="35"/>
      <c r="F103" s="32">
        <v>331874.44297781598</v>
      </c>
      <c r="G103" s="39">
        <v>1.0000000200000001</v>
      </c>
      <c r="H103" s="24" t="s">
        <v>146</v>
      </c>
    </row>
    <row r="104" spans="1:17" x14ac:dyDescent="0.2">
      <c r="A104" s="40"/>
      <c r="B104" s="40"/>
      <c r="C104" s="40"/>
      <c r="D104" s="41"/>
      <c r="E104" s="41"/>
      <c r="F104" s="41"/>
      <c r="G104" s="41"/>
    </row>
    <row r="105" spans="1:17" x14ac:dyDescent="0.2">
      <c r="A105" s="42"/>
      <c r="B105" s="236" t="s">
        <v>858</v>
      </c>
      <c r="C105" s="236"/>
      <c r="D105" s="236"/>
      <c r="E105" s="236"/>
      <c r="F105" s="236"/>
      <c r="G105" s="236"/>
      <c r="H105" s="236"/>
      <c r="J105" s="44"/>
    </row>
    <row r="106" spans="1:17" x14ac:dyDescent="0.2">
      <c r="A106" s="42"/>
      <c r="B106" s="236" t="s">
        <v>859</v>
      </c>
      <c r="C106" s="236"/>
      <c r="D106" s="236"/>
      <c r="E106" s="236"/>
      <c r="F106" s="236"/>
      <c r="G106" s="236"/>
      <c r="H106" s="236"/>
      <c r="J106" s="44"/>
    </row>
    <row r="107" spans="1:17" x14ac:dyDescent="0.2">
      <c r="A107" s="42"/>
      <c r="B107" s="236" t="s">
        <v>860</v>
      </c>
      <c r="C107" s="236"/>
      <c r="D107" s="236"/>
      <c r="E107" s="236"/>
      <c r="F107" s="236"/>
      <c r="G107" s="236"/>
      <c r="H107" s="236"/>
      <c r="J107" s="44"/>
    </row>
    <row r="108" spans="1:17" s="46" customFormat="1" ht="65.25" customHeight="1" x14ac:dyDescent="0.25">
      <c r="A108" s="45"/>
      <c r="B108" s="237" t="s">
        <v>861</v>
      </c>
      <c r="C108" s="237"/>
      <c r="D108" s="237"/>
      <c r="E108" s="237"/>
      <c r="F108" s="237"/>
      <c r="G108" s="237"/>
      <c r="H108" s="237"/>
      <c r="I108"/>
      <c r="J108" s="44"/>
      <c r="K108"/>
      <c r="L108"/>
      <c r="M108"/>
      <c r="N108"/>
      <c r="O108"/>
      <c r="P108"/>
      <c r="Q108"/>
    </row>
    <row r="109" spans="1:17" x14ac:dyDescent="0.2">
      <c r="A109" s="42"/>
      <c r="B109" s="236" t="s">
        <v>862</v>
      </c>
      <c r="C109" s="236"/>
      <c r="D109" s="236"/>
      <c r="E109" s="236"/>
      <c r="F109" s="236"/>
      <c r="G109" s="236"/>
      <c r="H109" s="236"/>
      <c r="J109" s="44"/>
    </row>
    <row r="110" spans="1:17" x14ac:dyDescent="0.2">
      <c r="A110" s="47"/>
      <c r="B110" s="47"/>
      <c r="C110" s="47"/>
      <c r="D110" s="48"/>
      <c r="E110" s="48"/>
      <c r="F110" s="48"/>
      <c r="G110" s="48"/>
    </row>
    <row r="111" spans="1:17" x14ac:dyDescent="0.2">
      <c r="A111" s="47"/>
      <c r="B111" s="233" t="s">
        <v>173</v>
      </c>
      <c r="C111" s="234"/>
      <c r="D111" s="235"/>
      <c r="E111" s="49"/>
      <c r="F111" s="48"/>
      <c r="G111" s="48"/>
    </row>
    <row r="112" spans="1:17" ht="25.5" customHeight="1" x14ac:dyDescent="0.2">
      <c r="A112" s="47"/>
      <c r="B112" s="231" t="s">
        <v>174</v>
      </c>
      <c r="C112" s="232"/>
      <c r="D112" s="26" t="s">
        <v>175</v>
      </c>
      <c r="E112" s="49"/>
      <c r="F112" s="48"/>
      <c r="G112" s="48"/>
    </row>
    <row r="113" spans="1:10" x14ac:dyDescent="0.2">
      <c r="A113" s="47"/>
      <c r="B113" s="231" t="s">
        <v>863</v>
      </c>
      <c r="C113" s="232"/>
      <c r="D113" s="26" t="s">
        <v>175</v>
      </c>
      <c r="E113" s="49"/>
      <c r="F113" s="48"/>
      <c r="G113" s="48"/>
    </row>
    <row r="114" spans="1:10" x14ac:dyDescent="0.2">
      <c r="A114" s="47"/>
      <c r="B114" s="231" t="s">
        <v>176</v>
      </c>
      <c r="C114" s="232"/>
      <c r="D114" s="35" t="s">
        <v>146</v>
      </c>
      <c r="E114" s="49"/>
      <c r="F114" s="48"/>
      <c r="G114" s="48"/>
    </row>
    <row r="115" spans="1:10" x14ac:dyDescent="0.2">
      <c r="A115" s="53"/>
      <c r="B115" s="54" t="s">
        <v>146</v>
      </c>
      <c r="C115" s="54" t="s">
        <v>864</v>
      </c>
      <c r="D115" s="54" t="s">
        <v>177</v>
      </c>
      <c r="E115" s="53"/>
      <c r="F115" s="53"/>
      <c r="G115" s="53"/>
      <c r="H115" s="44"/>
      <c r="J115" s="44"/>
    </row>
    <row r="116" spans="1:10" x14ac:dyDescent="0.2">
      <c r="A116" s="53"/>
      <c r="B116" s="55" t="s">
        <v>178</v>
      </c>
      <c r="C116" s="56">
        <v>45657</v>
      </c>
      <c r="D116" s="56">
        <v>45688</v>
      </c>
      <c r="E116" s="53"/>
      <c r="F116" s="53"/>
      <c r="G116" s="53"/>
      <c r="H116" s="44"/>
      <c r="J116" s="44"/>
    </row>
    <row r="117" spans="1:10" x14ac:dyDescent="0.2">
      <c r="A117" s="57"/>
      <c r="B117" s="28" t="s">
        <v>179</v>
      </c>
      <c r="C117" s="58">
        <v>22.0855</v>
      </c>
      <c r="D117" s="58">
        <v>21.5654</v>
      </c>
      <c r="E117" s="57"/>
      <c r="F117" s="59"/>
      <c r="G117" s="60"/>
    </row>
    <row r="118" spans="1:10" x14ac:dyDescent="0.2">
      <c r="A118" s="57"/>
      <c r="B118" s="28" t="s">
        <v>1025</v>
      </c>
      <c r="C118" s="58">
        <v>18.484300000000001</v>
      </c>
      <c r="D118" s="58">
        <v>18.048999999999999</v>
      </c>
      <c r="E118" s="57"/>
      <c r="F118" s="59"/>
      <c r="G118" s="60"/>
    </row>
    <row r="119" spans="1:10" x14ac:dyDescent="0.2">
      <c r="A119" s="57"/>
      <c r="B119" s="28" t="s">
        <v>180</v>
      </c>
      <c r="C119" s="58">
        <v>20.714400000000001</v>
      </c>
      <c r="D119" s="58">
        <v>20.204599999999999</v>
      </c>
      <c r="E119" s="57"/>
      <c r="F119" s="59"/>
      <c r="G119" s="60"/>
    </row>
    <row r="120" spans="1:10" x14ac:dyDescent="0.2">
      <c r="A120" s="57"/>
      <c r="B120" s="28" t="s">
        <v>1026</v>
      </c>
      <c r="C120" s="58">
        <v>17.319900000000001</v>
      </c>
      <c r="D120" s="58">
        <v>16.893599999999999</v>
      </c>
      <c r="E120" s="57"/>
      <c r="F120" s="59"/>
      <c r="G120" s="60"/>
    </row>
    <row r="121" spans="1:10" x14ac:dyDescent="0.2">
      <c r="A121" s="57"/>
      <c r="B121" s="57"/>
      <c r="C121" s="57"/>
      <c r="D121" s="57"/>
      <c r="E121" s="57"/>
      <c r="F121" s="57"/>
      <c r="G121" s="57"/>
    </row>
    <row r="122" spans="1:10" x14ac:dyDescent="0.2">
      <c r="A122" s="53"/>
      <c r="B122" s="227" t="s">
        <v>865</v>
      </c>
      <c r="C122" s="228"/>
      <c r="D122" s="50" t="s">
        <v>175</v>
      </c>
      <c r="E122" s="53"/>
      <c r="F122" s="53"/>
      <c r="G122" s="53"/>
    </row>
    <row r="123" spans="1:10" x14ac:dyDescent="0.2">
      <c r="A123" s="53"/>
      <c r="B123" s="74"/>
      <c r="C123" s="74"/>
      <c r="D123" s="74"/>
      <c r="E123" s="53"/>
      <c r="F123" s="53"/>
      <c r="G123" s="53"/>
    </row>
    <row r="124" spans="1:10" x14ac:dyDescent="0.2">
      <c r="A124" s="53"/>
      <c r="B124" s="227" t="s">
        <v>181</v>
      </c>
      <c r="C124" s="228"/>
      <c r="D124" s="50" t="s">
        <v>175</v>
      </c>
      <c r="E124" s="64"/>
      <c r="F124" s="53"/>
      <c r="G124" s="53"/>
    </row>
    <row r="125" spans="1:10" x14ac:dyDescent="0.2">
      <c r="A125" s="53"/>
      <c r="B125" s="227" t="s">
        <v>182</v>
      </c>
      <c r="C125" s="228"/>
      <c r="D125" s="50" t="s">
        <v>175</v>
      </c>
      <c r="E125" s="64"/>
      <c r="F125" s="53"/>
      <c r="G125" s="53"/>
    </row>
    <row r="126" spans="1:10" x14ac:dyDescent="0.2">
      <c r="A126" s="53"/>
      <c r="B126" s="227" t="s">
        <v>183</v>
      </c>
      <c r="C126" s="228"/>
      <c r="D126" s="50" t="s">
        <v>175</v>
      </c>
      <c r="E126" s="64"/>
      <c r="F126" s="53"/>
      <c r="G126" s="53"/>
    </row>
    <row r="127" spans="1:10" x14ac:dyDescent="0.2">
      <c r="A127" s="53"/>
      <c r="B127" s="227" t="s">
        <v>184</v>
      </c>
      <c r="C127" s="228"/>
      <c r="D127" s="65">
        <v>0.34375559141698975</v>
      </c>
      <c r="E127" s="53"/>
      <c r="F127" s="43"/>
      <c r="G127" s="63"/>
    </row>
    <row r="129" spans="2:10" x14ac:dyDescent="0.2">
      <c r="B129" s="229" t="s">
        <v>866</v>
      </c>
      <c r="C129" s="229"/>
    </row>
    <row r="131" spans="2:10" ht="153.75" customHeight="1" x14ac:dyDescent="0.2"/>
    <row r="134" spans="2:10" x14ac:dyDescent="0.2">
      <c r="B134" s="66" t="s">
        <v>867</v>
      </c>
      <c r="C134" s="67"/>
      <c r="D134" s="66" t="s">
        <v>870</v>
      </c>
    </row>
    <row r="135" spans="2:10" x14ac:dyDescent="0.2">
      <c r="B135" s="66" t="s">
        <v>1014</v>
      </c>
      <c r="D135" s="66" t="s">
        <v>1014</v>
      </c>
    </row>
    <row r="136" spans="2:10" ht="165" customHeight="1" x14ac:dyDescent="0.2"/>
    <row r="138" spans="2:10" x14ac:dyDescent="0.2">
      <c r="J138" s="21"/>
    </row>
  </sheetData>
  <mergeCells count="18">
    <mergeCell ref="A1:H1"/>
    <mergeCell ref="A2:H2"/>
    <mergeCell ref="A3:H3"/>
    <mergeCell ref="B113:C113"/>
    <mergeCell ref="B114:C114"/>
    <mergeCell ref="B111:D111"/>
    <mergeCell ref="B112:C112"/>
    <mergeCell ref="B105:H105"/>
    <mergeCell ref="B106:H106"/>
    <mergeCell ref="B107:H107"/>
    <mergeCell ref="B108:H108"/>
    <mergeCell ref="B109:H109"/>
    <mergeCell ref="B124:C124"/>
    <mergeCell ref="B125:C125"/>
    <mergeCell ref="B129:C129"/>
    <mergeCell ref="B122:C122"/>
    <mergeCell ref="B126:C126"/>
    <mergeCell ref="B127:C127"/>
  </mergeCells>
  <hyperlinks>
    <hyperlink ref="I1" location="Index!B2" display="Index" xr:uid="{06F2A97F-AD56-462E-B80A-FB85B71D4C5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BE183-F3DA-4464-ADE6-4E558A97024B}">
  <sheetPr>
    <outlinePr summaryBelow="0" summaryRight="0"/>
  </sheetPr>
  <dimension ref="A1:Q167"/>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826</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17</v>
      </c>
      <c r="C7" s="28" t="s">
        <v>18</v>
      </c>
      <c r="D7" s="28" t="s">
        <v>19</v>
      </c>
      <c r="E7" s="29">
        <v>497000</v>
      </c>
      <c r="F7" s="30">
        <v>8082.7110000000002</v>
      </c>
      <c r="G7" s="31">
        <v>5.1908740000000002E-2</v>
      </c>
      <c r="H7" s="24" t="s">
        <v>146</v>
      </c>
    </row>
    <row r="8" spans="1:9" x14ac:dyDescent="0.2">
      <c r="A8" s="27">
        <v>2</v>
      </c>
      <c r="B8" s="28" t="s">
        <v>333</v>
      </c>
      <c r="C8" s="28" t="s">
        <v>334</v>
      </c>
      <c r="D8" s="28" t="s">
        <v>33</v>
      </c>
      <c r="E8" s="29">
        <v>403923</v>
      </c>
      <c r="F8" s="30">
        <v>7679.7879990000001</v>
      </c>
      <c r="G8" s="31">
        <v>4.9321089999999998E-2</v>
      </c>
      <c r="H8" s="24" t="s">
        <v>146</v>
      </c>
    </row>
    <row r="9" spans="1:9" x14ac:dyDescent="0.2">
      <c r="A9" s="27">
        <v>3</v>
      </c>
      <c r="B9" s="28" t="s">
        <v>331</v>
      </c>
      <c r="C9" s="28" t="s">
        <v>332</v>
      </c>
      <c r="D9" s="28" t="s">
        <v>205</v>
      </c>
      <c r="E9" s="29">
        <v>2890484</v>
      </c>
      <c r="F9" s="30">
        <v>6369.1814940000004</v>
      </c>
      <c r="G9" s="31">
        <v>4.0904120000000002E-2</v>
      </c>
      <c r="H9" s="24" t="s">
        <v>146</v>
      </c>
    </row>
    <row r="10" spans="1:9" x14ac:dyDescent="0.2">
      <c r="A10" s="27">
        <v>4</v>
      </c>
      <c r="B10" s="28" t="s">
        <v>11</v>
      </c>
      <c r="C10" s="28" t="s">
        <v>12</v>
      </c>
      <c r="D10" s="28" t="s">
        <v>13</v>
      </c>
      <c r="E10" s="29">
        <v>178388</v>
      </c>
      <c r="F10" s="30">
        <v>6363.8135119999997</v>
      </c>
      <c r="G10" s="31">
        <v>4.086965E-2</v>
      </c>
      <c r="H10" s="24" t="s">
        <v>146</v>
      </c>
    </row>
    <row r="11" spans="1:9" x14ac:dyDescent="0.2">
      <c r="A11" s="27">
        <v>5</v>
      </c>
      <c r="B11" s="28" t="s">
        <v>37</v>
      </c>
      <c r="C11" s="28" t="s">
        <v>38</v>
      </c>
      <c r="D11" s="28" t="s">
        <v>39</v>
      </c>
      <c r="E11" s="29">
        <v>95348</v>
      </c>
      <c r="F11" s="30">
        <v>6199.3362639999996</v>
      </c>
      <c r="G11" s="31">
        <v>3.9813340000000003E-2</v>
      </c>
      <c r="H11" s="24" t="s">
        <v>146</v>
      </c>
    </row>
    <row r="12" spans="1:9" x14ac:dyDescent="0.2">
      <c r="A12" s="27">
        <v>6</v>
      </c>
      <c r="B12" s="28" t="s">
        <v>14</v>
      </c>
      <c r="C12" s="28" t="s">
        <v>15</v>
      </c>
      <c r="D12" s="28" t="s">
        <v>16</v>
      </c>
      <c r="E12" s="29">
        <v>480134</v>
      </c>
      <c r="F12" s="30">
        <v>6074.1752340000003</v>
      </c>
      <c r="G12" s="31">
        <v>3.9009530000000001E-2</v>
      </c>
      <c r="H12" s="24" t="s">
        <v>146</v>
      </c>
    </row>
    <row r="13" spans="1:9" x14ac:dyDescent="0.2">
      <c r="A13" s="27">
        <v>7</v>
      </c>
      <c r="B13" s="28" t="s">
        <v>221</v>
      </c>
      <c r="C13" s="28" t="s">
        <v>222</v>
      </c>
      <c r="D13" s="28" t="s">
        <v>223</v>
      </c>
      <c r="E13" s="29">
        <v>648111</v>
      </c>
      <c r="F13" s="30">
        <v>4562.0533290000003</v>
      </c>
      <c r="G13" s="31">
        <v>2.9298390000000001E-2</v>
      </c>
      <c r="H13" s="24" t="s">
        <v>146</v>
      </c>
    </row>
    <row r="14" spans="1:9" x14ac:dyDescent="0.2">
      <c r="A14" s="27">
        <v>8</v>
      </c>
      <c r="B14" s="28" t="s">
        <v>381</v>
      </c>
      <c r="C14" s="28" t="s">
        <v>382</v>
      </c>
      <c r="D14" s="28" t="s">
        <v>223</v>
      </c>
      <c r="E14" s="29">
        <v>1545806</v>
      </c>
      <c r="F14" s="30">
        <v>4476.654176</v>
      </c>
      <c r="G14" s="31">
        <v>2.8749940000000002E-2</v>
      </c>
      <c r="H14" s="24" t="s">
        <v>146</v>
      </c>
    </row>
    <row r="15" spans="1:9" x14ac:dyDescent="0.2">
      <c r="A15" s="27">
        <v>9</v>
      </c>
      <c r="B15" s="28" t="s">
        <v>536</v>
      </c>
      <c r="C15" s="28" t="s">
        <v>537</v>
      </c>
      <c r="D15" s="28" t="s">
        <v>83</v>
      </c>
      <c r="E15" s="29">
        <v>380337</v>
      </c>
      <c r="F15" s="30">
        <v>3935.1567705000002</v>
      </c>
      <c r="G15" s="31">
        <v>2.5272340000000001E-2</v>
      </c>
      <c r="H15" s="24" t="s">
        <v>146</v>
      </c>
    </row>
    <row r="16" spans="1:9" x14ac:dyDescent="0.2">
      <c r="A16" s="27">
        <v>10</v>
      </c>
      <c r="B16" s="28" t="s">
        <v>701</v>
      </c>
      <c r="C16" s="28" t="s">
        <v>702</v>
      </c>
      <c r="D16" s="28" t="s">
        <v>280</v>
      </c>
      <c r="E16" s="29">
        <v>575778</v>
      </c>
      <c r="F16" s="30">
        <v>3673.7515290000001</v>
      </c>
      <c r="G16" s="31">
        <v>2.3593550000000001E-2</v>
      </c>
      <c r="H16" s="24" t="s">
        <v>146</v>
      </c>
    </row>
    <row r="17" spans="1:8" ht="25.5" x14ac:dyDescent="0.2">
      <c r="A17" s="27">
        <v>11</v>
      </c>
      <c r="B17" s="28" t="s">
        <v>104</v>
      </c>
      <c r="C17" s="28" t="s">
        <v>105</v>
      </c>
      <c r="D17" s="28" t="s">
        <v>25</v>
      </c>
      <c r="E17" s="29">
        <v>715215</v>
      </c>
      <c r="F17" s="30">
        <v>3667.6225199999999</v>
      </c>
      <c r="G17" s="31">
        <v>2.3554180000000001E-2</v>
      </c>
      <c r="H17" s="24" t="s">
        <v>146</v>
      </c>
    </row>
    <row r="18" spans="1:8" ht="25.5" x14ac:dyDescent="0.2">
      <c r="A18" s="27">
        <v>12</v>
      </c>
      <c r="B18" s="28" t="s">
        <v>213</v>
      </c>
      <c r="C18" s="28" t="s">
        <v>214</v>
      </c>
      <c r="D18" s="28" t="s">
        <v>215</v>
      </c>
      <c r="E18" s="29">
        <v>203093</v>
      </c>
      <c r="F18" s="30">
        <v>3507.009924</v>
      </c>
      <c r="G18" s="31">
        <v>2.25227E-2</v>
      </c>
      <c r="H18" s="24" t="s">
        <v>146</v>
      </c>
    </row>
    <row r="19" spans="1:8" x14ac:dyDescent="0.2">
      <c r="A19" s="27">
        <v>13</v>
      </c>
      <c r="B19" s="28" t="s">
        <v>352</v>
      </c>
      <c r="C19" s="28" t="s">
        <v>353</v>
      </c>
      <c r="D19" s="28" t="s">
        <v>354</v>
      </c>
      <c r="E19" s="29">
        <v>221166</v>
      </c>
      <c r="F19" s="30">
        <v>3335.0726970000001</v>
      </c>
      <c r="G19" s="31">
        <v>2.141848E-2</v>
      </c>
      <c r="H19" s="24" t="s">
        <v>146</v>
      </c>
    </row>
    <row r="20" spans="1:8" x14ac:dyDescent="0.2">
      <c r="A20" s="27">
        <v>14</v>
      </c>
      <c r="B20" s="28" t="s">
        <v>827</v>
      </c>
      <c r="C20" s="28" t="s">
        <v>828</v>
      </c>
      <c r="D20" s="28" t="s">
        <v>208</v>
      </c>
      <c r="E20" s="29">
        <v>233443</v>
      </c>
      <c r="F20" s="30">
        <v>3238.2045745</v>
      </c>
      <c r="G20" s="31">
        <v>2.079638E-2</v>
      </c>
      <c r="H20" s="24" t="s">
        <v>146</v>
      </c>
    </row>
    <row r="21" spans="1:8" x14ac:dyDescent="0.2">
      <c r="A21" s="27">
        <v>15</v>
      </c>
      <c r="B21" s="28" t="s">
        <v>528</v>
      </c>
      <c r="C21" s="28" t="s">
        <v>529</v>
      </c>
      <c r="D21" s="28" t="s">
        <v>275</v>
      </c>
      <c r="E21" s="29">
        <v>35354</v>
      </c>
      <c r="F21" s="30">
        <v>3128.0512119999999</v>
      </c>
      <c r="G21" s="31">
        <v>2.0088950000000001E-2</v>
      </c>
      <c r="H21" s="24" t="s">
        <v>146</v>
      </c>
    </row>
    <row r="22" spans="1:8" x14ac:dyDescent="0.2">
      <c r="A22" s="27">
        <v>16</v>
      </c>
      <c r="B22" s="28" t="s">
        <v>445</v>
      </c>
      <c r="C22" s="28" t="s">
        <v>446</v>
      </c>
      <c r="D22" s="28" t="s">
        <v>447</v>
      </c>
      <c r="E22" s="29">
        <v>495412</v>
      </c>
      <c r="F22" s="30">
        <v>2944.2335159999998</v>
      </c>
      <c r="G22" s="31">
        <v>1.8908439999999999E-2</v>
      </c>
      <c r="H22" s="24" t="s">
        <v>146</v>
      </c>
    </row>
    <row r="23" spans="1:8" x14ac:dyDescent="0.2">
      <c r="A23" s="27">
        <v>17</v>
      </c>
      <c r="B23" s="28" t="s">
        <v>357</v>
      </c>
      <c r="C23" s="28" t="s">
        <v>358</v>
      </c>
      <c r="D23" s="28" t="s">
        <v>275</v>
      </c>
      <c r="E23" s="29">
        <v>409034</v>
      </c>
      <c r="F23" s="30">
        <v>2929.092474</v>
      </c>
      <c r="G23" s="31">
        <v>1.88112E-2</v>
      </c>
      <c r="H23" s="24" t="s">
        <v>146</v>
      </c>
    </row>
    <row r="24" spans="1:8" x14ac:dyDescent="0.2">
      <c r="A24" s="27">
        <v>18</v>
      </c>
      <c r="B24" s="28" t="s">
        <v>488</v>
      </c>
      <c r="C24" s="28" t="s">
        <v>489</v>
      </c>
      <c r="D24" s="28" t="s">
        <v>354</v>
      </c>
      <c r="E24" s="29">
        <v>197773</v>
      </c>
      <c r="F24" s="30">
        <v>2876.5093984999999</v>
      </c>
      <c r="G24" s="31">
        <v>1.84735E-2</v>
      </c>
      <c r="H24" s="24" t="s">
        <v>146</v>
      </c>
    </row>
    <row r="25" spans="1:8" x14ac:dyDescent="0.2">
      <c r="A25" s="27">
        <v>19</v>
      </c>
      <c r="B25" s="28" t="s">
        <v>502</v>
      </c>
      <c r="C25" s="28" t="s">
        <v>503</v>
      </c>
      <c r="D25" s="28" t="s">
        <v>42</v>
      </c>
      <c r="E25" s="29">
        <v>68758</v>
      </c>
      <c r="F25" s="30">
        <v>2780.4703829999999</v>
      </c>
      <c r="G25" s="31">
        <v>1.785672E-2</v>
      </c>
      <c r="H25" s="24" t="s">
        <v>146</v>
      </c>
    </row>
    <row r="26" spans="1:8" x14ac:dyDescent="0.2">
      <c r="A26" s="27">
        <v>20</v>
      </c>
      <c r="B26" s="28" t="s">
        <v>383</v>
      </c>
      <c r="C26" s="28" t="s">
        <v>384</v>
      </c>
      <c r="D26" s="28" t="s">
        <v>195</v>
      </c>
      <c r="E26" s="29">
        <v>391410</v>
      </c>
      <c r="F26" s="30">
        <v>2736.5430150000002</v>
      </c>
      <c r="G26" s="31">
        <v>1.7574610000000001E-2</v>
      </c>
      <c r="H26" s="24" t="s">
        <v>146</v>
      </c>
    </row>
    <row r="27" spans="1:8" x14ac:dyDescent="0.2">
      <c r="A27" s="27">
        <v>21</v>
      </c>
      <c r="B27" s="28" t="s">
        <v>125</v>
      </c>
      <c r="C27" s="28" t="s">
        <v>126</v>
      </c>
      <c r="D27" s="28" t="s">
        <v>80</v>
      </c>
      <c r="E27" s="29">
        <v>848169</v>
      </c>
      <c r="F27" s="30">
        <v>2723.0465745000001</v>
      </c>
      <c r="G27" s="31">
        <v>1.7487929999999999E-2</v>
      </c>
      <c r="H27" s="24" t="s">
        <v>146</v>
      </c>
    </row>
    <row r="28" spans="1:8" x14ac:dyDescent="0.2">
      <c r="A28" s="27">
        <v>22</v>
      </c>
      <c r="B28" s="28" t="s">
        <v>224</v>
      </c>
      <c r="C28" s="28" t="s">
        <v>225</v>
      </c>
      <c r="D28" s="28" t="s">
        <v>226</v>
      </c>
      <c r="E28" s="29">
        <v>126230</v>
      </c>
      <c r="F28" s="30">
        <v>2708.8957999999998</v>
      </c>
      <c r="G28" s="31">
        <v>1.7397050000000001E-2</v>
      </c>
      <c r="H28" s="24" t="s">
        <v>146</v>
      </c>
    </row>
    <row r="29" spans="1:8" x14ac:dyDescent="0.2">
      <c r="A29" s="27">
        <v>23</v>
      </c>
      <c r="B29" s="28" t="s">
        <v>69</v>
      </c>
      <c r="C29" s="28" t="s">
        <v>70</v>
      </c>
      <c r="D29" s="28" t="s">
        <v>22</v>
      </c>
      <c r="E29" s="29">
        <v>695834</v>
      </c>
      <c r="F29" s="30">
        <v>2536.31493</v>
      </c>
      <c r="G29" s="31">
        <v>1.6288710000000001E-2</v>
      </c>
      <c r="H29" s="24" t="s">
        <v>146</v>
      </c>
    </row>
    <row r="30" spans="1:8" x14ac:dyDescent="0.2">
      <c r="A30" s="27">
        <v>24</v>
      </c>
      <c r="B30" s="28" t="s">
        <v>28</v>
      </c>
      <c r="C30" s="28" t="s">
        <v>29</v>
      </c>
      <c r="D30" s="28" t="s">
        <v>30</v>
      </c>
      <c r="E30" s="29">
        <v>853623</v>
      </c>
      <c r="F30" s="30">
        <v>2498.1277095</v>
      </c>
      <c r="G30" s="31">
        <v>1.6043459999999999E-2</v>
      </c>
      <c r="H30" s="24" t="s">
        <v>146</v>
      </c>
    </row>
    <row r="31" spans="1:8" x14ac:dyDescent="0.2">
      <c r="A31" s="27">
        <v>25</v>
      </c>
      <c r="B31" s="28" t="s">
        <v>88</v>
      </c>
      <c r="C31" s="28" t="s">
        <v>89</v>
      </c>
      <c r="D31" s="28" t="s">
        <v>42</v>
      </c>
      <c r="E31" s="29">
        <v>207813</v>
      </c>
      <c r="F31" s="30">
        <v>2355.1447290000001</v>
      </c>
      <c r="G31" s="31">
        <v>1.51252E-2</v>
      </c>
      <c r="H31" s="24" t="s">
        <v>146</v>
      </c>
    </row>
    <row r="32" spans="1:8" x14ac:dyDescent="0.2">
      <c r="A32" s="27">
        <v>26</v>
      </c>
      <c r="B32" s="28" t="s">
        <v>524</v>
      </c>
      <c r="C32" s="28" t="s">
        <v>525</v>
      </c>
      <c r="D32" s="28" t="s">
        <v>226</v>
      </c>
      <c r="E32" s="29">
        <v>145079</v>
      </c>
      <c r="F32" s="30">
        <v>2065.9249599999998</v>
      </c>
      <c r="G32" s="31">
        <v>1.326777E-2</v>
      </c>
      <c r="H32" s="24" t="s">
        <v>146</v>
      </c>
    </row>
    <row r="33" spans="1:8" x14ac:dyDescent="0.2">
      <c r="A33" s="27">
        <v>27</v>
      </c>
      <c r="B33" s="28" t="s">
        <v>92</v>
      </c>
      <c r="C33" s="28" t="s">
        <v>93</v>
      </c>
      <c r="D33" s="28" t="s">
        <v>83</v>
      </c>
      <c r="E33" s="29">
        <v>48710</v>
      </c>
      <c r="F33" s="30">
        <v>2034.7141200000001</v>
      </c>
      <c r="G33" s="31">
        <v>1.306733E-2</v>
      </c>
      <c r="H33" s="24" t="s">
        <v>146</v>
      </c>
    </row>
    <row r="34" spans="1:8" ht="25.5" x14ac:dyDescent="0.2">
      <c r="A34" s="27">
        <v>28</v>
      </c>
      <c r="B34" s="28" t="s">
        <v>256</v>
      </c>
      <c r="C34" s="28" t="s">
        <v>257</v>
      </c>
      <c r="D34" s="28" t="s">
        <v>258</v>
      </c>
      <c r="E34" s="29">
        <v>79372</v>
      </c>
      <c r="F34" s="30">
        <v>1845.8752320000001</v>
      </c>
      <c r="G34" s="31">
        <v>1.185457E-2</v>
      </c>
      <c r="H34" s="24" t="s">
        <v>146</v>
      </c>
    </row>
    <row r="35" spans="1:8" x14ac:dyDescent="0.2">
      <c r="A35" s="27">
        <v>29</v>
      </c>
      <c r="B35" s="28" t="s">
        <v>259</v>
      </c>
      <c r="C35" s="28" t="s">
        <v>260</v>
      </c>
      <c r="D35" s="28" t="s">
        <v>208</v>
      </c>
      <c r="E35" s="29">
        <v>62410</v>
      </c>
      <c r="F35" s="30">
        <v>1780.5885049999999</v>
      </c>
      <c r="G35" s="31">
        <v>1.1435290000000001E-2</v>
      </c>
      <c r="H35" s="24" t="s">
        <v>146</v>
      </c>
    </row>
    <row r="36" spans="1:8" x14ac:dyDescent="0.2">
      <c r="A36" s="27">
        <v>30</v>
      </c>
      <c r="B36" s="28" t="s">
        <v>363</v>
      </c>
      <c r="C36" s="28" t="s">
        <v>364</v>
      </c>
      <c r="D36" s="28" t="s">
        <v>39</v>
      </c>
      <c r="E36" s="29">
        <v>50727</v>
      </c>
      <c r="F36" s="30">
        <v>1770.4991175</v>
      </c>
      <c r="G36" s="31">
        <v>1.137049E-2</v>
      </c>
      <c r="H36" s="24" t="s">
        <v>146</v>
      </c>
    </row>
    <row r="37" spans="1:8" x14ac:dyDescent="0.2">
      <c r="A37" s="27">
        <v>31</v>
      </c>
      <c r="B37" s="28" t="s">
        <v>829</v>
      </c>
      <c r="C37" s="28" t="s">
        <v>830</v>
      </c>
      <c r="D37" s="28" t="s">
        <v>205</v>
      </c>
      <c r="E37" s="29">
        <v>1605110</v>
      </c>
      <c r="F37" s="30">
        <v>1732.7162450000001</v>
      </c>
      <c r="G37" s="31">
        <v>1.112784E-2</v>
      </c>
      <c r="H37" s="24" t="s">
        <v>146</v>
      </c>
    </row>
    <row r="38" spans="1:8" x14ac:dyDescent="0.2">
      <c r="A38" s="27">
        <v>32</v>
      </c>
      <c r="B38" s="28" t="s">
        <v>299</v>
      </c>
      <c r="C38" s="28" t="s">
        <v>300</v>
      </c>
      <c r="D38" s="28" t="s">
        <v>275</v>
      </c>
      <c r="E38" s="29">
        <v>2290783</v>
      </c>
      <c r="F38" s="30">
        <v>1713.505684</v>
      </c>
      <c r="G38" s="31">
        <v>1.1004470000000001E-2</v>
      </c>
      <c r="H38" s="24" t="s">
        <v>146</v>
      </c>
    </row>
    <row r="39" spans="1:8" x14ac:dyDescent="0.2">
      <c r="A39" s="27">
        <v>33</v>
      </c>
      <c r="B39" s="28" t="s">
        <v>738</v>
      </c>
      <c r="C39" s="28" t="s">
        <v>739</v>
      </c>
      <c r="D39" s="28" t="s">
        <v>208</v>
      </c>
      <c r="E39" s="29">
        <v>85200</v>
      </c>
      <c r="F39" s="30">
        <v>1530.9588000000001</v>
      </c>
      <c r="G39" s="31">
        <v>9.8321099999999998E-3</v>
      </c>
      <c r="H39" s="24" t="s">
        <v>146</v>
      </c>
    </row>
    <row r="40" spans="1:8" x14ac:dyDescent="0.2">
      <c r="A40" s="27">
        <v>34</v>
      </c>
      <c r="B40" s="28" t="s">
        <v>287</v>
      </c>
      <c r="C40" s="28" t="s">
        <v>288</v>
      </c>
      <c r="D40" s="28" t="s">
        <v>233</v>
      </c>
      <c r="E40" s="29">
        <v>41967</v>
      </c>
      <c r="F40" s="30">
        <v>1512.280845</v>
      </c>
      <c r="G40" s="31">
        <v>9.7121599999999992E-3</v>
      </c>
      <c r="H40" s="24" t="s">
        <v>146</v>
      </c>
    </row>
    <row r="41" spans="1:8" ht="25.5" x14ac:dyDescent="0.2">
      <c r="A41" s="27">
        <v>35</v>
      </c>
      <c r="B41" s="28" t="s">
        <v>121</v>
      </c>
      <c r="C41" s="28" t="s">
        <v>122</v>
      </c>
      <c r="D41" s="28" t="s">
        <v>96</v>
      </c>
      <c r="E41" s="29">
        <v>212075</v>
      </c>
      <c r="F41" s="30">
        <v>1339.4657</v>
      </c>
      <c r="G41" s="31">
        <v>8.6023100000000002E-3</v>
      </c>
      <c r="H41" s="24" t="s">
        <v>146</v>
      </c>
    </row>
    <row r="42" spans="1:8" x14ac:dyDescent="0.2">
      <c r="A42" s="27">
        <v>36</v>
      </c>
      <c r="B42" s="28" t="s">
        <v>814</v>
      </c>
      <c r="C42" s="28" t="s">
        <v>815</v>
      </c>
      <c r="D42" s="28" t="s">
        <v>205</v>
      </c>
      <c r="E42" s="29">
        <v>901539</v>
      </c>
      <c r="F42" s="30">
        <v>1324.1804832</v>
      </c>
      <c r="G42" s="31">
        <v>8.5041400000000003E-3</v>
      </c>
      <c r="H42" s="24" t="s">
        <v>146</v>
      </c>
    </row>
    <row r="43" spans="1:8" x14ac:dyDescent="0.2">
      <c r="A43" s="27">
        <v>37</v>
      </c>
      <c r="B43" s="28" t="s">
        <v>81</v>
      </c>
      <c r="C43" s="28" t="s">
        <v>82</v>
      </c>
      <c r="D43" s="28" t="s">
        <v>83</v>
      </c>
      <c r="E43" s="29">
        <v>129487</v>
      </c>
      <c r="F43" s="30">
        <v>1279.1373295000001</v>
      </c>
      <c r="G43" s="31">
        <v>8.2148700000000009E-3</v>
      </c>
      <c r="H43" s="24" t="s">
        <v>146</v>
      </c>
    </row>
    <row r="44" spans="1:8" x14ac:dyDescent="0.2">
      <c r="A44" s="27">
        <v>38</v>
      </c>
      <c r="B44" s="28" t="s">
        <v>831</v>
      </c>
      <c r="C44" s="28" t="s">
        <v>832</v>
      </c>
      <c r="D44" s="28" t="s">
        <v>42</v>
      </c>
      <c r="E44" s="29">
        <v>250773</v>
      </c>
      <c r="F44" s="30">
        <v>1193.428707</v>
      </c>
      <c r="G44" s="31">
        <v>7.6644299999999999E-3</v>
      </c>
      <c r="H44" s="24" t="s">
        <v>146</v>
      </c>
    </row>
    <row r="45" spans="1:8" x14ac:dyDescent="0.2">
      <c r="A45" s="27">
        <v>39</v>
      </c>
      <c r="B45" s="28" t="s">
        <v>798</v>
      </c>
      <c r="C45" s="28" t="s">
        <v>799</v>
      </c>
      <c r="D45" s="28" t="s">
        <v>83</v>
      </c>
      <c r="E45" s="29">
        <v>3908</v>
      </c>
      <c r="F45" s="30">
        <v>1122.7351819999999</v>
      </c>
      <c r="G45" s="31">
        <v>7.2104200000000004E-3</v>
      </c>
      <c r="H45" s="24" t="s">
        <v>146</v>
      </c>
    </row>
    <row r="46" spans="1:8" x14ac:dyDescent="0.2">
      <c r="A46" s="27">
        <v>40</v>
      </c>
      <c r="B46" s="28" t="s">
        <v>517</v>
      </c>
      <c r="C46" s="28" t="s">
        <v>518</v>
      </c>
      <c r="D46" s="28" t="s">
        <v>39</v>
      </c>
      <c r="E46" s="29">
        <v>167719</v>
      </c>
      <c r="F46" s="30">
        <v>1095.0373509999999</v>
      </c>
      <c r="G46" s="31">
        <v>7.0325400000000003E-3</v>
      </c>
      <c r="H46" s="24" t="s">
        <v>146</v>
      </c>
    </row>
    <row r="47" spans="1:8" x14ac:dyDescent="0.2">
      <c r="A47" s="27">
        <v>41</v>
      </c>
      <c r="B47" s="28" t="s">
        <v>833</v>
      </c>
      <c r="C47" s="28" t="s">
        <v>834</v>
      </c>
      <c r="D47" s="28" t="s">
        <v>42</v>
      </c>
      <c r="E47" s="29">
        <v>307486</v>
      </c>
      <c r="F47" s="30">
        <v>817.75901699999997</v>
      </c>
      <c r="G47" s="31">
        <v>5.25181E-3</v>
      </c>
      <c r="H47" s="24" t="s">
        <v>146</v>
      </c>
    </row>
    <row r="48" spans="1:8" x14ac:dyDescent="0.2">
      <c r="A48" s="27">
        <v>42</v>
      </c>
      <c r="B48" s="28" t="s">
        <v>504</v>
      </c>
      <c r="C48" s="28" t="s">
        <v>505</v>
      </c>
      <c r="D48" s="28" t="s">
        <v>233</v>
      </c>
      <c r="E48" s="29">
        <v>31375</v>
      </c>
      <c r="F48" s="30">
        <v>637.54</v>
      </c>
      <c r="G48" s="31">
        <v>4.0944099999999997E-3</v>
      </c>
      <c r="H48" s="24" t="s">
        <v>146</v>
      </c>
    </row>
    <row r="49" spans="1:8" x14ac:dyDescent="0.2">
      <c r="A49" s="27">
        <v>43</v>
      </c>
      <c r="B49" s="28" t="s">
        <v>835</v>
      </c>
      <c r="C49" s="28" t="s">
        <v>836</v>
      </c>
      <c r="D49" s="28" t="s">
        <v>205</v>
      </c>
      <c r="E49" s="29">
        <v>1218</v>
      </c>
      <c r="F49" s="30">
        <v>2.0572020000000002</v>
      </c>
      <c r="G49" s="31" t="s">
        <v>144</v>
      </c>
      <c r="H49" s="24" t="s">
        <v>146</v>
      </c>
    </row>
    <row r="50" spans="1:8" x14ac:dyDescent="0.2">
      <c r="A50" s="25"/>
      <c r="B50" s="25"/>
      <c r="C50" s="26" t="s">
        <v>145</v>
      </c>
      <c r="D50" s="25"/>
      <c r="E50" s="25" t="s">
        <v>146</v>
      </c>
      <c r="F50" s="32">
        <f>SUM(F7:F49)</f>
        <v>126179.36524470002</v>
      </c>
      <c r="G50" s="33">
        <f>SUM(G7:G49)</f>
        <v>0.81033516000000028</v>
      </c>
      <c r="H50" s="24" t="s">
        <v>146</v>
      </c>
    </row>
    <row r="51" spans="1:8" x14ac:dyDescent="0.2">
      <c r="A51" s="25"/>
      <c r="B51" s="25"/>
      <c r="C51" s="34"/>
      <c r="D51" s="25"/>
      <c r="E51" s="25"/>
      <c r="F51" s="35"/>
      <c r="G51" s="35"/>
      <c r="H51" s="24" t="s">
        <v>146</v>
      </c>
    </row>
    <row r="52" spans="1:8" x14ac:dyDescent="0.2">
      <c r="A52" s="25"/>
      <c r="B52" s="25"/>
      <c r="C52" s="26" t="s">
        <v>147</v>
      </c>
      <c r="D52" s="25"/>
      <c r="E52" s="25"/>
      <c r="F52" s="25"/>
      <c r="G52" s="25"/>
      <c r="H52" s="24" t="s">
        <v>146</v>
      </c>
    </row>
    <row r="53" spans="1:8" x14ac:dyDescent="0.2">
      <c r="A53" s="25"/>
      <c r="B53" s="25"/>
      <c r="C53" s="26" t="s">
        <v>145</v>
      </c>
      <c r="D53" s="25"/>
      <c r="E53" s="25" t="s">
        <v>146</v>
      </c>
      <c r="F53" s="36" t="s">
        <v>148</v>
      </c>
      <c r="G53" s="33">
        <v>0</v>
      </c>
      <c r="H53" s="24" t="s">
        <v>146</v>
      </c>
    </row>
    <row r="54" spans="1:8" x14ac:dyDescent="0.2">
      <c r="A54" s="25"/>
      <c r="B54" s="25"/>
      <c r="C54" s="34"/>
      <c r="D54" s="25"/>
      <c r="E54" s="25"/>
      <c r="F54" s="35"/>
      <c r="G54" s="35"/>
      <c r="H54" s="24" t="s">
        <v>146</v>
      </c>
    </row>
    <row r="55" spans="1:8" x14ac:dyDescent="0.2">
      <c r="A55" s="25"/>
      <c r="B55" s="25"/>
      <c r="C55" s="26" t="s">
        <v>149</v>
      </c>
      <c r="D55" s="25"/>
      <c r="E55" s="25"/>
      <c r="F55" s="25"/>
      <c r="G55" s="25"/>
      <c r="H55" s="24" t="s">
        <v>146</v>
      </c>
    </row>
    <row r="56" spans="1:8" x14ac:dyDescent="0.2">
      <c r="A56" s="25"/>
      <c r="B56" s="25"/>
      <c r="C56" s="26" t="s">
        <v>145</v>
      </c>
      <c r="D56" s="25"/>
      <c r="E56" s="25" t="s">
        <v>146</v>
      </c>
      <c r="F56" s="36" t="s">
        <v>148</v>
      </c>
      <c r="G56" s="33">
        <v>0</v>
      </c>
      <c r="H56" s="24" t="s">
        <v>146</v>
      </c>
    </row>
    <row r="57" spans="1:8" x14ac:dyDescent="0.2">
      <c r="A57" s="25"/>
      <c r="B57" s="25"/>
      <c r="C57" s="34"/>
      <c r="D57" s="25"/>
      <c r="E57" s="25"/>
      <c r="F57" s="35"/>
      <c r="G57" s="35"/>
      <c r="H57" s="24" t="s">
        <v>146</v>
      </c>
    </row>
    <row r="58" spans="1:8" x14ac:dyDescent="0.2">
      <c r="A58" s="25"/>
      <c r="B58" s="25"/>
      <c r="C58" s="26" t="s">
        <v>150</v>
      </c>
      <c r="D58" s="25"/>
      <c r="E58" s="25"/>
      <c r="F58" s="25"/>
      <c r="G58" s="25"/>
      <c r="H58" s="24" t="s">
        <v>146</v>
      </c>
    </row>
    <row r="59" spans="1:8" x14ac:dyDescent="0.2">
      <c r="A59" s="25"/>
      <c r="B59" s="25"/>
      <c r="C59" s="26" t="s">
        <v>145</v>
      </c>
      <c r="D59" s="25"/>
      <c r="E59" s="25" t="s">
        <v>146</v>
      </c>
      <c r="F59" s="36" t="s">
        <v>148</v>
      </c>
      <c r="G59" s="33">
        <v>0</v>
      </c>
      <c r="H59" s="24" t="s">
        <v>146</v>
      </c>
    </row>
    <row r="60" spans="1:8" x14ac:dyDescent="0.2">
      <c r="A60" s="25"/>
      <c r="B60" s="25"/>
      <c r="C60" s="34"/>
      <c r="D60" s="25"/>
      <c r="E60" s="25"/>
      <c r="F60" s="35"/>
      <c r="G60" s="35"/>
      <c r="H60" s="24" t="s">
        <v>146</v>
      </c>
    </row>
    <row r="61" spans="1:8" x14ac:dyDescent="0.2">
      <c r="A61" s="25"/>
      <c r="B61" s="25"/>
      <c r="C61" s="26" t="s">
        <v>151</v>
      </c>
      <c r="D61" s="25"/>
      <c r="E61" s="25"/>
      <c r="F61" s="35"/>
      <c r="G61" s="35"/>
      <c r="H61" s="24" t="s">
        <v>146</v>
      </c>
    </row>
    <row r="62" spans="1:8" x14ac:dyDescent="0.2">
      <c r="A62" s="25"/>
      <c r="B62" s="25"/>
      <c r="C62" s="26" t="s">
        <v>145</v>
      </c>
      <c r="D62" s="25"/>
      <c r="E62" s="25" t="s">
        <v>146</v>
      </c>
      <c r="F62" s="36" t="s">
        <v>148</v>
      </c>
      <c r="G62" s="33">
        <v>0</v>
      </c>
      <c r="H62" s="24" t="s">
        <v>146</v>
      </c>
    </row>
    <row r="63" spans="1:8" x14ac:dyDescent="0.2">
      <c r="A63" s="25"/>
      <c r="B63" s="25"/>
      <c r="C63" s="34"/>
      <c r="D63" s="25"/>
      <c r="E63" s="25"/>
      <c r="F63" s="35"/>
      <c r="G63" s="35"/>
      <c r="H63" s="24" t="s">
        <v>146</v>
      </c>
    </row>
    <row r="64" spans="1:8" x14ac:dyDescent="0.2">
      <c r="A64" s="25"/>
      <c r="B64" s="25"/>
      <c r="C64" s="26" t="s">
        <v>152</v>
      </c>
      <c r="D64" s="25"/>
      <c r="E64" s="25"/>
      <c r="F64" s="35"/>
      <c r="G64" s="35"/>
      <c r="H64" s="24" t="s">
        <v>146</v>
      </c>
    </row>
    <row r="65" spans="1:8" x14ac:dyDescent="0.2">
      <c r="A65" s="27">
        <v>1</v>
      </c>
      <c r="B65" s="28"/>
      <c r="C65" s="28" t="s">
        <v>1015</v>
      </c>
      <c r="D65" s="28" t="s">
        <v>519</v>
      </c>
      <c r="E65" s="29">
        <v>1177050</v>
      </c>
      <c r="F65" s="30">
        <v>1977.5617050000001</v>
      </c>
      <c r="G65" s="31">
        <v>1.2700289999999999E-2</v>
      </c>
      <c r="H65" s="24" t="s">
        <v>146</v>
      </c>
    </row>
    <row r="66" spans="1:8" x14ac:dyDescent="0.2">
      <c r="A66" s="25"/>
      <c r="B66" s="25"/>
      <c r="C66" s="26" t="s">
        <v>145</v>
      </c>
      <c r="D66" s="25"/>
      <c r="E66" s="25" t="s">
        <v>146</v>
      </c>
      <c r="F66" s="32">
        <v>1977.5617050000001</v>
      </c>
      <c r="G66" s="33">
        <v>1.2700289999999999E-2</v>
      </c>
      <c r="H66" s="24" t="s">
        <v>146</v>
      </c>
    </row>
    <row r="67" spans="1:8" x14ac:dyDescent="0.2">
      <c r="A67" s="25"/>
      <c r="B67" s="25"/>
      <c r="C67" s="34"/>
      <c r="D67" s="25"/>
      <c r="E67" s="25"/>
      <c r="F67" s="35"/>
      <c r="G67" s="35"/>
      <c r="H67" s="24" t="s">
        <v>146</v>
      </c>
    </row>
    <row r="68" spans="1:8" x14ac:dyDescent="0.2">
      <c r="A68" s="25"/>
      <c r="B68" s="25"/>
      <c r="C68" s="26" t="s">
        <v>153</v>
      </c>
      <c r="D68" s="25"/>
      <c r="E68" s="25"/>
      <c r="F68" s="32">
        <f>F66+F50</f>
        <v>128156.92694970002</v>
      </c>
      <c r="G68" s="33">
        <f>G66+G50</f>
        <v>0.82303545000000022</v>
      </c>
      <c r="H68" s="24" t="s">
        <v>146</v>
      </c>
    </row>
    <row r="69" spans="1:8" x14ac:dyDescent="0.2">
      <c r="A69" s="25"/>
      <c r="B69" s="25"/>
      <c r="C69" s="34"/>
      <c r="D69" s="25"/>
      <c r="E69" s="25"/>
      <c r="F69" s="35"/>
      <c r="G69" s="35"/>
      <c r="H69" s="24" t="s">
        <v>146</v>
      </c>
    </row>
    <row r="70" spans="1:8" x14ac:dyDescent="0.2">
      <c r="A70" s="25"/>
      <c r="B70" s="25"/>
      <c r="C70" s="26" t="s">
        <v>154</v>
      </c>
      <c r="D70" s="25"/>
      <c r="E70" s="25"/>
      <c r="F70" s="35"/>
      <c r="G70" s="35"/>
      <c r="H70" s="24" t="s">
        <v>146</v>
      </c>
    </row>
    <row r="71" spans="1:8" x14ac:dyDescent="0.2">
      <c r="A71" s="25"/>
      <c r="B71" s="25"/>
      <c r="C71" s="26" t="s">
        <v>10</v>
      </c>
      <c r="D71" s="25"/>
      <c r="E71" s="25"/>
      <c r="F71" s="35"/>
      <c r="G71" s="35"/>
      <c r="H71" s="24" t="s">
        <v>146</v>
      </c>
    </row>
    <row r="72" spans="1:8" x14ac:dyDescent="0.2">
      <c r="A72" s="25"/>
      <c r="B72" s="25"/>
      <c r="C72" s="26" t="s">
        <v>145</v>
      </c>
      <c r="D72" s="25"/>
      <c r="E72" s="25" t="s">
        <v>146</v>
      </c>
      <c r="F72" s="36" t="s">
        <v>148</v>
      </c>
      <c r="G72" s="33">
        <v>0</v>
      </c>
      <c r="H72" s="24" t="s">
        <v>146</v>
      </c>
    </row>
    <row r="73" spans="1:8" x14ac:dyDescent="0.2">
      <c r="A73" s="25"/>
      <c r="B73" s="25"/>
      <c r="C73" s="34"/>
      <c r="D73" s="25"/>
      <c r="E73" s="25"/>
      <c r="F73" s="35"/>
      <c r="G73" s="35"/>
      <c r="H73" s="24" t="s">
        <v>146</v>
      </c>
    </row>
    <row r="74" spans="1:8" x14ac:dyDescent="0.2">
      <c r="A74" s="25"/>
      <c r="B74" s="25"/>
      <c r="C74" s="26" t="s">
        <v>155</v>
      </c>
      <c r="D74" s="25"/>
      <c r="E74" s="25"/>
      <c r="F74" s="25"/>
      <c r="G74" s="25"/>
      <c r="H74" s="24" t="s">
        <v>146</v>
      </c>
    </row>
    <row r="75" spans="1:8" x14ac:dyDescent="0.2">
      <c r="A75" s="25"/>
      <c r="B75" s="25"/>
      <c r="C75" s="26" t="s">
        <v>145</v>
      </c>
      <c r="D75" s="25"/>
      <c r="E75" s="25" t="s">
        <v>146</v>
      </c>
      <c r="F75" s="36" t="s">
        <v>148</v>
      </c>
      <c r="G75" s="33">
        <v>0</v>
      </c>
      <c r="H75" s="24" t="s">
        <v>146</v>
      </c>
    </row>
    <row r="76" spans="1:8" x14ac:dyDescent="0.2">
      <c r="A76" s="25"/>
      <c r="B76" s="25"/>
      <c r="C76" s="34"/>
      <c r="D76" s="25"/>
      <c r="E76" s="25"/>
      <c r="F76" s="35"/>
      <c r="G76" s="35"/>
      <c r="H76" s="24" t="s">
        <v>146</v>
      </c>
    </row>
    <row r="77" spans="1:8" x14ac:dyDescent="0.2">
      <c r="A77" s="25"/>
      <c r="B77" s="25"/>
      <c r="C77" s="26" t="s">
        <v>156</v>
      </c>
      <c r="D77" s="25"/>
      <c r="E77" s="25"/>
      <c r="F77" s="25"/>
      <c r="G77" s="25"/>
      <c r="H77" s="24" t="s">
        <v>146</v>
      </c>
    </row>
    <row r="78" spans="1:8" x14ac:dyDescent="0.2">
      <c r="A78" s="25"/>
      <c r="B78" s="25"/>
      <c r="C78" s="26" t="s">
        <v>145</v>
      </c>
      <c r="D78" s="25"/>
      <c r="E78" s="25" t="s">
        <v>146</v>
      </c>
      <c r="F78" s="36" t="s">
        <v>148</v>
      </c>
      <c r="G78" s="33">
        <v>0</v>
      </c>
      <c r="H78" s="24" t="s">
        <v>146</v>
      </c>
    </row>
    <row r="79" spans="1:8" x14ac:dyDescent="0.2">
      <c r="A79" s="25"/>
      <c r="B79" s="25"/>
      <c r="C79" s="34"/>
      <c r="D79" s="25"/>
      <c r="E79" s="25"/>
      <c r="F79" s="35"/>
      <c r="G79" s="35"/>
      <c r="H79" s="24" t="s">
        <v>146</v>
      </c>
    </row>
    <row r="80" spans="1:8" x14ac:dyDescent="0.2">
      <c r="A80" s="25"/>
      <c r="B80" s="25"/>
      <c r="C80" s="26" t="s">
        <v>157</v>
      </c>
      <c r="D80" s="25"/>
      <c r="E80" s="25"/>
      <c r="F80" s="35"/>
      <c r="G80" s="35"/>
      <c r="H80" s="24" t="s">
        <v>146</v>
      </c>
    </row>
    <row r="81" spans="1:8" x14ac:dyDescent="0.2">
      <c r="A81" s="25"/>
      <c r="B81" s="25"/>
      <c r="C81" s="26" t="s">
        <v>145</v>
      </c>
      <c r="D81" s="25"/>
      <c r="E81" s="25" t="s">
        <v>146</v>
      </c>
      <c r="F81" s="36" t="s">
        <v>148</v>
      </c>
      <c r="G81" s="33">
        <v>0</v>
      </c>
      <c r="H81" s="24" t="s">
        <v>146</v>
      </c>
    </row>
    <row r="82" spans="1:8" x14ac:dyDescent="0.2">
      <c r="A82" s="25"/>
      <c r="B82" s="25"/>
      <c r="C82" s="34"/>
      <c r="D82" s="25"/>
      <c r="E82" s="25"/>
      <c r="F82" s="35"/>
      <c r="G82" s="35"/>
      <c r="H82" s="24" t="s">
        <v>146</v>
      </c>
    </row>
    <row r="83" spans="1:8" x14ac:dyDescent="0.2">
      <c r="A83" s="25"/>
      <c r="B83" s="25"/>
      <c r="C83" s="26" t="s">
        <v>158</v>
      </c>
      <c r="D83" s="25"/>
      <c r="E83" s="25"/>
      <c r="F83" s="32">
        <v>0</v>
      </c>
      <c r="G83" s="33">
        <v>0</v>
      </c>
      <c r="H83" s="24" t="s">
        <v>146</v>
      </c>
    </row>
    <row r="84" spans="1:8" x14ac:dyDescent="0.2">
      <c r="A84" s="25"/>
      <c r="B84" s="25"/>
      <c r="C84" s="34"/>
      <c r="D84" s="25"/>
      <c r="E84" s="25"/>
      <c r="F84" s="35"/>
      <c r="G84" s="35"/>
      <c r="H84" s="24" t="s">
        <v>146</v>
      </c>
    </row>
    <row r="85" spans="1:8" x14ac:dyDescent="0.2">
      <c r="A85" s="25"/>
      <c r="B85" s="25"/>
      <c r="C85" s="26" t="s">
        <v>159</v>
      </c>
      <c r="D85" s="25"/>
      <c r="E85" s="25"/>
      <c r="F85" s="35"/>
      <c r="G85" s="35"/>
      <c r="H85" s="24" t="s">
        <v>146</v>
      </c>
    </row>
    <row r="86" spans="1:8" x14ac:dyDescent="0.2">
      <c r="A86" s="25"/>
      <c r="B86" s="25"/>
      <c r="C86" s="26" t="s">
        <v>160</v>
      </c>
      <c r="D86" s="25"/>
      <c r="E86" s="25"/>
      <c r="F86" s="35"/>
      <c r="G86" s="35"/>
      <c r="H86" s="24" t="s">
        <v>146</v>
      </c>
    </row>
    <row r="87" spans="1:8" x14ac:dyDescent="0.2">
      <c r="A87" s="25"/>
      <c r="B87" s="25"/>
      <c r="C87" s="26" t="s">
        <v>145</v>
      </c>
      <c r="D87" s="25"/>
      <c r="E87" s="25" t="s">
        <v>146</v>
      </c>
      <c r="F87" s="36" t="s">
        <v>148</v>
      </c>
      <c r="G87" s="33">
        <v>0</v>
      </c>
      <c r="H87" s="24" t="s">
        <v>146</v>
      </c>
    </row>
    <row r="88" spans="1:8" x14ac:dyDescent="0.2">
      <c r="A88" s="25"/>
      <c r="B88" s="25"/>
      <c r="C88" s="34"/>
      <c r="D88" s="25"/>
      <c r="E88" s="25"/>
      <c r="F88" s="35"/>
      <c r="G88" s="35"/>
      <c r="H88" s="24" t="s">
        <v>146</v>
      </c>
    </row>
    <row r="89" spans="1:8" x14ac:dyDescent="0.2">
      <c r="A89" s="25"/>
      <c r="B89" s="25"/>
      <c r="C89" s="26" t="s">
        <v>161</v>
      </c>
      <c r="D89" s="25"/>
      <c r="E89" s="25"/>
      <c r="F89" s="35"/>
      <c r="G89" s="35"/>
      <c r="H89" s="24" t="s">
        <v>146</v>
      </c>
    </row>
    <row r="90" spans="1:8" x14ac:dyDescent="0.2">
      <c r="A90" s="25"/>
      <c r="B90" s="25"/>
      <c r="C90" s="26" t="s">
        <v>145</v>
      </c>
      <c r="D90" s="25"/>
      <c r="E90" s="25" t="s">
        <v>146</v>
      </c>
      <c r="F90" s="36" t="s">
        <v>148</v>
      </c>
      <c r="G90" s="33">
        <v>0</v>
      </c>
      <c r="H90" s="24" t="s">
        <v>146</v>
      </c>
    </row>
    <row r="91" spans="1:8" x14ac:dyDescent="0.2">
      <c r="A91" s="25"/>
      <c r="B91" s="25"/>
      <c r="C91" s="34"/>
      <c r="D91" s="25"/>
      <c r="E91" s="25"/>
      <c r="F91" s="35"/>
      <c r="G91" s="35"/>
      <c r="H91" s="24" t="s">
        <v>146</v>
      </c>
    </row>
    <row r="92" spans="1:8" x14ac:dyDescent="0.2">
      <c r="A92" s="25"/>
      <c r="B92" s="25"/>
      <c r="C92" s="26" t="s">
        <v>162</v>
      </c>
      <c r="D92" s="25"/>
      <c r="E92" s="25"/>
      <c r="F92" s="35"/>
      <c r="G92" s="35"/>
      <c r="H92" s="24" t="s">
        <v>146</v>
      </c>
    </row>
    <row r="93" spans="1:8" x14ac:dyDescent="0.2">
      <c r="A93" s="25"/>
      <c r="B93" s="25"/>
      <c r="C93" s="26" t="s">
        <v>145</v>
      </c>
      <c r="D93" s="25"/>
      <c r="E93" s="25" t="s">
        <v>146</v>
      </c>
      <c r="F93" s="36" t="s">
        <v>148</v>
      </c>
      <c r="G93" s="33">
        <v>0</v>
      </c>
      <c r="H93" s="24" t="s">
        <v>146</v>
      </c>
    </row>
    <row r="94" spans="1:8" x14ac:dyDescent="0.2">
      <c r="A94" s="25"/>
      <c r="B94" s="25"/>
      <c r="C94" s="34"/>
      <c r="D94" s="25"/>
      <c r="E94" s="25"/>
      <c r="F94" s="35"/>
      <c r="G94" s="35"/>
      <c r="H94" s="24" t="s">
        <v>146</v>
      </c>
    </row>
    <row r="95" spans="1:8" x14ac:dyDescent="0.2">
      <c r="A95" s="25"/>
      <c r="B95" s="25"/>
      <c r="C95" s="26" t="s">
        <v>163</v>
      </c>
      <c r="D95" s="25"/>
      <c r="E95" s="25"/>
      <c r="F95" s="35"/>
      <c r="G95" s="35"/>
      <c r="H95" s="24" t="s">
        <v>146</v>
      </c>
    </row>
    <row r="96" spans="1:8" x14ac:dyDescent="0.2">
      <c r="A96" s="27">
        <v>1</v>
      </c>
      <c r="B96" s="28"/>
      <c r="C96" s="28" t="s">
        <v>164</v>
      </c>
      <c r="D96" s="28"/>
      <c r="E96" s="38"/>
      <c r="F96" s="30">
        <v>28308.828418633999</v>
      </c>
      <c r="G96" s="31">
        <v>0.18180478999999999</v>
      </c>
      <c r="H96" s="24">
        <v>6.57</v>
      </c>
    </row>
    <row r="97" spans="1:8" x14ac:dyDescent="0.2">
      <c r="A97" s="25"/>
      <c r="B97" s="25"/>
      <c r="C97" s="26" t="s">
        <v>145</v>
      </c>
      <c r="D97" s="25"/>
      <c r="E97" s="25" t="s">
        <v>146</v>
      </c>
      <c r="F97" s="32">
        <v>28308.828418633999</v>
      </c>
      <c r="G97" s="33">
        <v>0.18180478999999999</v>
      </c>
      <c r="H97" s="24" t="s">
        <v>146</v>
      </c>
    </row>
    <row r="98" spans="1:8" x14ac:dyDescent="0.2">
      <c r="A98" s="25"/>
      <c r="B98" s="25"/>
      <c r="C98" s="34"/>
      <c r="D98" s="25"/>
      <c r="E98" s="25"/>
      <c r="F98" s="35"/>
      <c r="G98" s="35"/>
      <c r="H98" s="24" t="s">
        <v>146</v>
      </c>
    </row>
    <row r="99" spans="1:8" x14ac:dyDescent="0.2">
      <c r="A99" s="25"/>
      <c r="B99" s="25"/>
      <c r="C99" s="26" t="s">
        <v>165</v>
      </c>
      <c r="D99" s="25"/>
      <c r="E99" s="25"/>
      <c r="F99" s="32">
        <v>28308.828418633999</v>
      </c>
      <c r="G99" s="33">
        <v>0.18180478999999999</v>
      </c>
      <c r="H99" s="24" t="s">
        <v>146</v>
      </c>
    </row>
    <row r="100" spans="1:8" x14ac:dyDescent="0.2">
      <c r="A100" s="25"/>
      <c r="B100" s="25"/>
      <c r="C100" s="35"/>
      <c r="D100" s="25"/>
      <c r="E100" s="25"/>
      <c r="F100" s="25"/>
      <c r="G100" s="25"/>
      <c r="H100" s="24" t="s">
        <v>146</v>
      </c>
    </row>
    <row r="101" spans="1:8" x14ac:dyDescent="0.2">
      <c r="A101" s="25"/>
      <c r="B101" s="25"/>
      <c r="C101" s="26" t="s">
        <v>166</v>
      </c>
      <c r="D101" s="25"/>
      <c r="E101" s="25"/>
      <c r="F101" s="25"/>
      <c r="G101" s="25"/>
      <c r="H101" s="24" t="s">
        <v>146</v>
      </c>
    </row>
    <row r="102" spans="1:8" x14ac:dyDescent="0.2">
      <c r="A102" s="25"/>
      <c r="B102" s="25"/>
      <c r="C102" s="26" t="s">
        <v>167</v>
      </c>
      <c r="D102" s="25"/>
      <c r="E102" s="25"/>
      <c r="F102" s="25"/>
      <c r="G102" s="25"/>
      <c r="H102" s="24" t="s">
        <v>146</v>
      </c>
    </row>
    <row r="103" spans="1:8" x14ac:dyDescent="0.2">
      <c r="A103" s="25"/>
      <c r="B103" s="25"/>
      <c r="C103" s="26" t="s">
        <v>145</v>
      </c>
      <c r="D103" s="25"/>
      <c r="E103" s="25" t="s">
        <v>146</v>
      </c>
      <c r="F103" s="36" t="s">
        <v>148</v>
      </c>
      <c r="G103" s="33">
        <v>0</v>
      </c>
      <c r="H103" s="24" t="s">
        <v>146</v>
      </c>
    </row>
    <row r="104" spans="1:8" x14ac:dyDescent="0.2">
      <c r="A104" s="25"/>
      <c r="B104" s="25"/>
      <c r="C104" s="34"/>
      <c r="D104" s="25"/>
      <c r="E104" s="25"/>
      <c r="F104" s="35"/>
      <c r="G104" s="35"/>
      <c r="H104" s="24" t="s">
        <v>146</v>
      </c>
    </row>
    <row r="105" spans="1:8" x14ac:dyDescent="0.2">
      <c r="A105" s="25"/>
      <c r="B105" s="25"/>
      <c r="C105" s="26" t="s">
        <v>168</v>
      </c>
      <c r="D105" s="25"/>
      <c r="E105" s="25"/>
      <c r="F105" s="25"/>
      <c r="G105" s="25"/>
      <c r="H105" s="24" t="s">
        <v>146</v>
      </c>
    </row>
    <row r="106" spans="1:8" x14ac:dyDescent="0.2">
      <c r="A106" s="25"/>
      <c r="B106" s="25"/>
      <c r="C106" s="26" t="s">
        <v>169</v>
      </c>
      <c r="D106" s="25"/>
      <c r="E106" s="25"/>
      <c r="F106" s="25"/>
      <c r="G106" s="25"/>
      <c r="H106" s="24" t="s">
        <v>146</v>
      </c>
    </row>
    <row r="107" spans="1:8" x14ac:dyDescent="0.2">
      <c r="A107" s="25"/>
      <c r="B107" s="25"/>
      <c r="C107" s="26" t="s">
        <v>145</v>
      </c>
      <c r="D107" s="25"/>
      <c r="E107" s="25" t="s">
        <v>146</v>
      </c>
      <c r="F107" s="36" t="s">
        <v>148</v>
      </c>
      <c r="G107" s="33">
        <v>0</v>
      </c>
      <c r="H107" s="24" t="s">
        <v>146</v>
      </c>
    </row>
    <row r="108" spans="1:8" x14ac:dyDescent="0.2">
      <c r="A108" s="25"/>
      <c r="B108" s="25"/>
      <c r="C108" s="34"/>
      <c r="D108" s="25"/>
      <c r="E108" s="25"/>
      <c r="F108" s="35"/>
      <c r="G108" s="35"/>
      <c r="H108" s="24" t="s">
        <v>146</v>
      </c>
    </row>
    <row r="109" spans="1:8" x14ac:dyDescent="0.2">
      <c r="A109" s="25"/>
      <c r="B109" s="25"/>
      <c r="C109" s="26" t="s">
        <v>170</v>
      </c>
      <c r="D109" s="25"/>
      <c r="E109" s="25"/>
      <c r="F109" s="35"/>
      <c r="G109" s="35"/>
      <c r="H109" s="24" t="s">
        <v>146</v>
      </c>
    </row>
    <row r="110" spans="1:8" x14ac:dyDescent="0.2">
      <c r="A110" s="25"/>
      <c r="B110" s="25"/>
      <c r="C110" s="26" t="s">
        <v>145</v>
      </c>
      <c r="D110" s="25"/>
      <c r="E110" s="25" t="s">
        <v>146</v>
      </c>
      <c r="F110" s="36" t="s">
        <v>148</v>
      </c>
      <c r="G110" s="33">
        <v>0</v>
      </c>
      <c r="H110" s="24" t="s">
        <v>146</v>
      </c>
    </row>
    <row r="111" spans="1:8" x14ac:dyDescent="0.2">
      <c r="A111" s="25"/>
      <c r="B111" s="25"/>
      <c r="C111" s="34"/>
      <c r="D111" s="25"/>
      <c r="E111" s="25"/>
      <c r="F111" s="35"/>
      <c r="G111" s="35"/>
      <c r="H111" s="24" t="s">
        <v>146</v>
      </c>
    </row>
    <row r="112" spans="1:8" x14ac:dyDescent="0.2">
      <c r="A112" s="38"/>
      <c r="B112" s="28"/>
      <c r="C112" s="28" t="s">
        <v>522</v>
      </c>
      <c r="D112" s="28"/>
      <c r="E112" s="38"/>
      <c r="F112" s="30">
        <v>1771.1606646</v>
      </c>
      <c r="G112" s="31">
        <v>1.137474E-2</v>
      </c>
      <c r="H112" s="24" t="s">
        <v>146</v>
      </c>
    </row>
    <row r="113" spans="1:17" x14ac:dyDescent="0.2">
      <c r="A113" s="38"/>
      <c r="B113" s="28"/>
      <c r="C113" s="37" t="s">
        <v>171</v>
      </c>
      <c r="D113" s="28"/>
      <c r="E113" s="38"/>
      <c r="F113" s="30">
        <f>-2526.8882745</f>
        <v>-2526.8882745000001</v>
      </c>
      <c r="G113" s="31">
        <f>F113/F114</f>
        <v>-1.6228166617632187E-2</v>
      </c>
      <c r="H113" s="24" t="s">
        <v>146</v>
      </c>
    </row>
    <row r="114" spans="1:17" x14ac:dyDescent="0.2">
      <c r="A114" s="34"/>
      <c r="B114" s="34"/>
      <c r="C114" s="26" t="s">
        <v>172</v>
      </c>
      <c r="D114" s="35"/>
      <c r="E114" s="35"/>
      <c r="F114" s="32">
        <f>F113+F112+F99+F68+F83</f>
        <v>155710.02775843401</v>
      </c>
      <c r="G114" s="39">
        <f>G113+G112+G99+G68+G83</f>
        <v>0.99998681338236806</v>
      </c>
      <c r="H114" s="24" t="s">
        <v>146</v>
      </c>
    </row>
    <row r="115" spans="1:17" x14ac:dyDescent="0.2">
      <c r="A115" s="40"/>
      <c r="B115" s="40"/>
      <c r="C115" s="40"/>
      <c r="D115" s="41"/>
      <c r="E115" s="41"/>
      <c r="F115" s="41"/>
      <c r="G115" s="41"/>
    </row>
    <row r="116" spans="1:17" x14ac:dyDescent="0.2">
      <c r="A116" s="42"/>
      <c r="B116" s="236" t="s">
        <v>858</v>
      </c>
      <c r="C116" s="236"/>
      <c r="D116" s="236"/>
      <c r="E116" s="236"/>
      <c r="F116" s="236"/>
      <c r="G116" s="236"/>
      <c r="H116" s="236"/>
      <c r="J116" s="44"/>
    </row>
    <row r="117" spans="1:17" x14ac:dyDescent="0.2">
      <c r="A117" s="42"/>
      <c r="B117" s="236" t="s">
        <v>859</v>
      </c>
      <c r="C117" s="236"/>
      <c r="D117" s="236"/>
      <c r="E117" s="236"/>
      <c r="F117" s="236"/>
      <c r="G117" s="236"/>
      <c r="H117" s="236"/>
      <c r="J117" s="44"/>
    </row>
    <row r="118" spans="1:17" x14ac:dyDescent="0.2">
      <c r="A118" s="42"/>
      <c r="B118" s="236" t="s">
        <v>860</v>
      </c>
      <c r="C118" s="236"/>
      <c r="D118" s="236"/>
      <c r="E118" s="236"/>
      <c r="F118" s="236"/>
      <c r="G118" s="236"/>
      <c r="H118" s="236"/>
      <c r="J118" s="44"/>
    </row>
    <row r="119" spans="1:17" s="46" customFormat="1" ht="65.25" customHeight="1" x14ac:dyDescent="0.25">
      <c r="A119" s="45"/>
      <c r="B119" s="237" t="s">
        <v>861</v>
      </c>
      <c r="C119" s="237"/>
      <c r="D119" s="237"/>
      <c r="E119" s="237"/>
      <c r="F119" s="237"/>
      <c r="G119" s="237"/>
      <c r="H119" s="237"/>
      <c r="I119"/>
      <c r="J119" s="44"/>
      <c r="K119"/>
      <c r="L119"/>
      <c r="M119"/>
      <c r="N119"/>
      <c r="O119"/>
      <c r="P119"/>
      <c r="Q119"/>
    </row>
    <row r="120" spans="1:17" x14ac:dyDescent="0.2">
      <c r="A120" s="42"/>
      <c r="B120" s="236" t="s">
        <v>862</v>
      </c>
      <c r="C120" s="236"/>
      <c r="D120" s="236"/>
      <c r="E120" s="236"/>
      <c r="F120" s="236"/>
      <c r="G120" s="236"/>
      <c r="H120" s="236"/>
      <c r="J120" s="44"/>
    </row>
    <row r="121" spans="1:17" x14ac:dyDescent="0.2">
      <c r="A121" s="47"/>
      <c r="B121" s="47"/>
      <c r="C121" s="47"/>
      <c r="D121" s="48"/>
      <c r="E121" s="48"/>
      <c r="F121" s="48"/>
      <c r="G121" s="48"/>
      <c r="H121" s="44"/>
    </row>
    <row r="122" spans="1:17" x14ac:dyDescent="0.2">
      <c r="A122" s="47"/>
      <c r="B122" s="233" t="s">
        <v>173</v>
      </c>
      <c r="C122" s="234"/>
      <c r="D122" s="235"/>
      <c r="E122" s="49"/>
      <c r="F122" s="48"/>
      <c r="G122" s="48"/>
    </row>
    <row r="123" spans="1:17" ht="26.25" customHeight="1" x14ac:dyDescent="0.2">
      <c r="A123" s="47"/>
      <c r="B123" s="231" t="s">
        <v>174</v>
      </c>
      <c r="C123" s="232"/>
      <c r="D123" s="26" t="s">
        <v>175</v>
      </c>
      <c r="E123" s="49"/>
      <c r="F123" s="48"/>
      <c r="G123" s="48"/>
    </row>
    <row r="124" spans="1:17" x14ac:dyDescent="0.2">
      <c r="A124" s="47"/>
      <c r="B124" s="231" t="s">
        <v>863</v>
      </c>
      <c r="C124" s="232"/>
      <c r="D124" s="26" t="s">
        <v>175</v>
      </c>
      <c r="E124" s="49"/>
      <c r="F124" s="48"/>
      <c r="G124" s="48"/>
    </row>
    <row r="125" spans="1:17" x14ac:dyDescent="0.2">
      <c r="A125" s="47"/>
      <c r="B125" s="231" t="s">
        <v>176</v>
      </c>
      <c r="C125" s="232"/>
      <c r="D125" s="35" t="s">
        <v>146</v>
      </c>
      <c r="E125" s="49"/>
      <c r="F125" s="48"/>
      <c r="G125" s="48"/>
    </row>
    <row r="126" spans="1:17" x14ac:dyDescent="0.2">
      <c r="A126" s="53"/>
      <c r="B126" s="54" t="s">
        <v>146</v>
      </c>
      <c r="C126" s="54" t="s">
        <v>864</v>
      </c>
      <c r="D126" s="54" t="s">
        <v>177</v>
      </c>
      <c r="E126" s="53"/>
      <c r="F126" s="53"/>
      <c r="G126" s="53"/>
      <c r="J126" s="44"/>
    </row>
    <row r="127" spans="1:17" x14ac:dyDescent="0.2">
      <c r="A127" s="53"/>
      <c r="B127" s="55" t="s">
        <v>178</v>
      </c>
      <c r="C127" s="56">
        <v>45657</v>
      </c>
      <c r="D127" s="56">
        <v>45688</v>
      </c>
      <c r="E127" s="53"/>
      <c r="F127" s="53"/>
      <c r="G127" s="53"/>
      <c r="H127" s="44"/>
      <c r="J127" s="44"/>
    </row>
    <row r="128" spans="1:17" x14ac:dyDescent="0.2">
      <c r="A128" s="57"/>
      <c r="B128" s="28" t="s">
        <v>179</v>
      </c>
      <c r="C128" s="58">
        <v>10.8832</v>
      </c>
      <c r="D128" s="58">
        <v>10.242800000000001</v>
      </c>
      <c r="E128" s="57"/>
      <c r="F128" s="59"/>
      <c r="G128" s="60"/>
      <c r="H128" s="44"/>
    </row>
    <row r="129" spans="1:7" x14ac:dyDescent="0.2">
      <c r="A129" s="57"/>
      <c r="B129" s="28" t="s">
        <v>1025</v>
      </c>
      <c r="C129" s="58">
        <v>10.8832</v>
      </c>
      <c r="D129" s="58">
        <v>10.242800000000001</v>
      </c>
      <c r="E129" s="57"/>
      <c r="F129" s="59"/>
      <c r="G129" s="60"/>
    </row>
    <row r="130" spans="1:7" x14ac:dyDescent="0.2">
      <c r="A130" s="57"/>
      <c r="B130" s="28" t="s">
        <v>180</v>
      </c>
      <c r="C130" s="58">
        <v>10.789899999999999</v>
      </c>
      <c r="D130" s="58">
        <v>10.1409</v>
      </c>
      <c r="E130" s="57"/>
      <c r="F130" s="59"/>
      <c r="G130" s="60"/>
    </row>
    <row r="131" spans="1:7" x14ac:dyDescent="0.2">
      <c r="A131" s="57"/>
      <c r="B131" s="28" t="s">
        <v>1026</v>
      </c>
      <c r="C131" s="58">
        <v>10.789899999999999</v>
      </c>
      <c r="D131" s="58">
        <v>10.1409</v>
      </c>
      <c r="E131" s="57"/>
      <c r="F131" s="59"/>
      <c r="G131" s="60"/>
    </row>
    <row r="132" spans="1:7" x14ac:dyDescent="0.2">
      <c r="A132" s="57"/>
      <c r="B132" s="57"/>
      <c r="C132" s="57"/>
      <c r="D132" s="57"/>
      <c r="E132" s="57"/>
      <c r="F132" s="57"/>
      <c r="G132" s="57"/>
    </row>
    <row r="133" spans="1:7" x14ac:dyDescent="0.2">
      <c r="A133" s="53"/>
      <c r="B133" s="227" t="s">
        <v>865</v>
      </c>
      <c r="C133" s="228"/>
      <c r="D133" s="50" t="s">
        <v>175</v>
      </c>
      <c r="E133" s="53"/>
      <c r="F133" s="53"/>
      <c r="G133" s="53"/>
    </row>
    <row r="134" spans="1:7" x14ac:dyDescent="0.2">
      <c r="A134" s="53"/>
      <c r="B134" s="43"/>
      <c r="C134" s="43"/>
      <c r="D134" s="53"/>
      <c r="E134" s="53"/>
      <c r="F134" s="53"/>
      <c r="G134" s="53"/>
    </row>
    <row r="135" spans="1:7" ht="27.75" customHeight="1" x14ac:dyDescent="0.2">
      <c r="A135" s="53"/>
      <c r="B135" s="227" t="s">
        <v>181</v>
      </c>
      <c r="C135" s="228"/>
      <c r="D135" s="50" t="s">
        <v>1095</v>
      </c>
      <c r="E135" s="64"/>
      <c r="F135" s="53"/>
      <c r="G135" s="53"/>
    </row>
    <row r="136" spans="1:7" ht="27" customHeight="1" x14ac:dyDescent="0.2">
      <c r="A136" s="53"/>
      <c r="B136" s="227" t="s">
        <v>182</v>
      </c>
      <c r="C136" s="228"/>
      <c r="D136" s="50" t="s">
        <v>175</v>
      </c>
      <c r="E136" s="64"/>
      <c r="F136" s="53"/>
      <c r="G136" s="53"/>
    </row>
    <row r="137" spans="1:7" ht="12.75" customHeight="1" x14ac:dyDescent="0.2">
      <c r="A137" s="53"/>
      <c r="B137" s="227" t="s">
        <v>183</v>
      </c>
      <c r="C137" s="228"/>
      <c r="D137" s="50" t="s">
        <v>175</v>
      </c>
      <c r="E137" s="64"/>
      <c r="F137" s="53"/>
      <c r="G137" s="53"/>
    </row>
    <row r="138" spans="1:7" x14ac:dyDescent="0.2">
      <c r="A138" s="53"/>
      <c r="B138" s="227" t="s">
        <v>184</v>
      </c>
      <c r="C138" s="228"/>
      <c r="D138" s="65">
        <v>0.22097450858838777</v>
      </c>
      <c r="E138" s="53"/>
      <c r="F138" s="43"/>
      <c r="G138" s="63"/>
    </row>
    <row r="140" spans="1:7" x14ac:dyDescent="0.2">
      <c r="B140" s="229" t="s">
        <v>866</v>
      </c>
      <c r="C140" s="229"/>
    </row>
    <row r="142" spans="1:7" ht="153.75" customHeight="1" x14ac:dyDescent="0.2"/>
    <row r="145" spans="2:10" x14ac:dyDescent="0.2">
      <c r="B145" s="66" t="s">
        <v>867</v>
      </c>
      <c r="C145" s="67"/>
      <c r="D145" s="66"/>
    </row>
    <row r="146" spans="2:10" x14ac:dyDescent="0.2">
      <c r="B146" s="66" t="s">
        <v>1016</v>
      </c>
      <c r="D146" s="66"/>
    </row>
    <row r="147" spans="2:10" ht="165" customHeight="1" x14ac:dyDescent="0.2"/>
    <row r="149" spans="2:10" x14ac:dyDescent="0.2">
      <c r="J149" s="21"/>
    </row>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sheetData>
  <mergeCells count="18">
    <mergeCell ref="A1:H1"/>
    <mergeCell ref="A2:H2"/>
    <mergeCell ref="A3:H3"/>
    <mergeCell ref="B124:C124"/>
    <mergeCell ref="B125:C125"/>
    <mergeCell ref="B122:D122"/>
    <mergeCell ref="B123:C123"/>
    <mergeCell ref="B116:H116"/>
    <mergeCell ref="B117:H117"/>
    <mergeCell ref="B118:H118"/>
    <mergeCell ref="B119:H119"/>
    <mergeCell ref="B120:H120"/>
    <mergeCell ref="B135:C135"/>
    <mergeCell ref="B136:C136"/>
    <mergeCell ref="B140:C140"/>
    <mergeCell ref="B133:C133"/>
    <mergeCell ref="B137:C137"/>
    <mergeCell ref="B138:C138"/>
  </mergeCells>
  <hyperlinks>
    <hyperlink ref="I1" location="Index!B2" display="Index" xr:uid="{5B486C0D-5A47-4962-8DBB-83504A6F606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D430-0E8F-405A-8CF8-8CB16EAB3AA3}">
  <sheetPr>
    <outlinePr summaryBelow="0" summaryRight="0"/>
  </sheetPr>
  <dimension ref="A1:Q167"/>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42578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837</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327</v>
      </c>
      <c r="C7" s="28" t="s">
        <v>328</v>
      </c>
      <c r="D7" s="28" t="s">
        <v>33</v>
      </c>
      <c r="E7" s="29">
        <v>996000</v>
      </c>
      <c r="F7" s="30">
        <v>16919.55</v>
      </c>
      <c r="G7" s="31">
        <v>8.5490590000000005E-2</v>
      </c>
      <c r="H7" s="24" t="s">
        <v>146</v>
      </c>
    </row>
    <row r="8" spans="1:9" x14ac:dyDescent="0.2">
      <c r="A8" s="27">
        <v>2</v>
      </c>
      <c r="B8" s="28" t="s">
        <v>31</v>
      </c>
      <c r="C8" s="28" t="s">
        <v>32</v>
      </c>
      <c r="D8" s="28" t="s">
        <v>33</v>
      </c>
      <c r="E8" s="29">
        <v>1151000</v>
      </c>
      <c r="F8" s="30">
        <v>14419.727999999999</v>
      </c>
      <c r="G8" s="31">
        <v>7.2859569999999999E-2</v>
      </c>
      <c r="H8" s="24" t="s">
        <v>146</v>
      </c>
    </row>
    <row r="9" spans="1:9" x14ac:dyDescent="0.2">
      <c r="A9" s="27">
        <v>3</v>
      </c>
      <c r="B9" s="28" t="s">
        <v>329</v>
      </c>
      <c r="C9" s="28" t="s">
        <v>330</v>
      </c>
      <c r="D9" s="28" t="s">
        <v>195</v>
      </c>
      <c r="E9" s="29">
        <v>502000</v>
      </c>
      <c r="F9" s="30">
        <v>9436.5959999999995</v>
      </c>
      <c r="G9" s="31">
        <v>4.768095E-2</v>
      </c>
      <c r="H9" s="24" t="s">
        <v>146</v>
      </c>
    </row>
    <row r="10" spans="1:9" x14ac:dyDescent="0.2">
      <c r="A10" s="27">
        <v>4</v>
      </c>
      <c r="B10" s="28" t="s">
        <v>14</v>
      </c>
      <c r="C10" s="28" t="s">
        <v>15</v>
      </c>
      <c r="D10" s="28" t="s">
        <v>16</v>
      </c>
      <c r="E10" s="29">
        <v>682000</v>
      </c>
      <c r="F10" s="30">
        <v>8627.982</v>
      </c>
      <c r="G10" s="31">
        <v>4.3595210000000002E-2</v>
      </c>
      <c r="H10" s="24" t="s">
        <v>146</v>
      </c>
    </row>
    <row r="11" spans="1:9" x14ac:dyDescent="0.2">
      <c r="A11" s="27">
        <v>5</v>
      </c>
      <c r="B11" s="28" t="s">
        <v>11</v>
      </c>
      <c r="C11" s="28" t="s">
        <v>12</v>
      </c>
      <c r="D11" s="28" t="s">
        <v>13</v>
      </c>
      <c r="E11" s="29">
        <v>202401</v>
      </c>
      <c r="F11" s="30">
        <v>7220.4532740000004</v>
      </c>
      <c r="G11" s="31">
        <v>3.6483290000000002E-2</v>
      </c>
      <c r="H11" s="24" t="s">
        <v>146</v>
      </c>
    </row>
    <row r="12" spans="1:9" x14ac:dyDescent="0.2">
      <c r="A12" s="27">
        <v>6</v>
      </c>
      <c r="B12" s="28" t="s">
        <v>17</v>
      </c>
      <c r="C12" s="28" t="s">
        <v>18</v>
      </c>
      <c r="D12" s="28" t="s">
        <v>19</v>
      </c>
      <c r="E12" s="29">
        <v>427000</v>
      </c>
      <c r="F12" s="30">
        <v>6944.3010000000004</v>
      </c>
      <c r="G12" s="31">
        <v>3.5087960000000001E-2</v>
      </c>
      <c r="H12" s="24" t="s">
        <v>146</v>
      </c>
    </row>
    <row r="13" spans="1:9" x14ac:dyDescent="0.2">
      <c r="A13" s="27">
        <v>7</v>
      </c>
      <c r="B13" s="28" t="s">
        <v>48</v>
      </c>
      <c r="C13" s="28" t="s">
        <v>49</v>
      </c>
      <c r="D13" s="28" t="s">
        <v>33</v>
      </c>
      <c r="E13" s="29">
        <v>716000</v>
      </c>
      <c r="F13" s="30">
        <v>5533.9639999999999</v>
      </c>
      <c r="G13" s="31">
        <v>2.796185E-2</v>
      </c>
      <c r="H13" s="24" t="s">
        <v>146</v>
      </c>
    </row>
    <row r="14" spans="1:9" x14ac:dyDescent="0.2">
      <c r="A14" s="27">
        <v>8</v>
      </c>
      <c r="B14" s="28" t="s">
        <v>335</v>
      </c>
      <c r="C14" s="28" t="s">
        <v>336</v>
      </c>
      <c r="D14" s="28" t="s">
        <v>195</v>
      </c>
      <c r="E14" s="29">
        <v>117702</v>
      </c>
      <c r="F14" s="30">
        <v>4840.3770480000003</v>
      </c>
      <c r="G14" s="31">
        <v>2.4457309999999999E-2</v>
      </c>
      <c r="H14" s="24" t="s">
        <v>146</v>
      </c>
    </row>
    <row r="15" spans="1:9" ht="25.5" x14ac:dyDescent="0.2">
      <c r="A15" s="27">
        <v>9</v>
      </c>
      <c r="B15" s="28" t="s">
        <v>23</v>
      </c>
      <c r="C15" s="28" t="s">
        <v>24</v>
      </c>
      <c r="D15" s="28" t="s">
        <v>25</v>
      </c>
      <c r="E15" s="29">
        <v>42000</v>
      </c>
      <c r="F15" s="30">
        <v>4824.7290000000003</v>
      </c>
      <c r="G15" s="31">
        <v>2.4378250000000001E-2</v>
      </c>
      <c r="H15" s="24" t="s">
        <v>146</v>
      </c>
    </row>
    <row r="16" spans="1:9" x14ac:dyDescent="0.2">
      <c r="A16" s="27">
        <v>10</v>
      </c>
      <c r="B16" s="28" t="s">
        <v>78</v>
      </c>
      <c r="C16" s="28" t="s">
        <v>79</v>
      </c>
      <c r="D16" s="28" t="s">
        <v>80</v>
      </c>
      <c r="E16" s="29">
        <v>109000</v>
      </c>
      <c r="F16" s="30">
        <v>4713.5415000000003</v>
      </c>
      <c r="G16" s="31">
        <v>2.3816440000000001E-2</v>
      </c>
      <c r="H16" s="24" t="s">
        <v>146</v>
      </c>
    </row>
    <row r="17" spans="1:8" ht="25.5" x14ac:dyDescent="0.2">
      <c r="A17" s="27">
        <v>11</v>
      </c>
      <c r="B17" s="28" t="s">
        <v>337</v>
      </c>
      <c r="C17" s="28" t="s">
        <v>338</v>
      </c>
      <c r="D17" s="28" t="s">
        <v>198</v>
      </c>
      <c r="E17" s="29">
        <v>249000</v>
      </c>
      <c r="F17" s="30">
        <v>4342.4354999999996</v>
      </c>
      <c r="G17" s="31">
        <v>2.1941329999999998E-2</v>
      </c>
      <c r="H17" s="24" t="s">
        <v>146</v>
      </c>
    </row>
    <row r="18" spans="1:8" x14ac:dyDescent="0.2">
      <c r="A18" s="27">
        <v>12</v>
      </c>
      <c r="B18" s="28" t="s">
        <v>347</v>
      </c>
      <c r="C18" s="28" t="s">
        <v>348</v>
      </c>
      <c r="D18" s="28" t="s">
        <v>349</v>
      </c>
      <c r="E18" s="29">
        <v>970000</v>
      </c>
      <c r="F18" s="30">
        <v>4340.75</v>
      </c>
      <c r="G18" s="31">
        <v>2.193281E-2</v>
      </c>
      <c r="H18" s="24" t="s">
        <v>146</v>
      </c>
    </row>
    <row r="19" spans="1:8" x14ac:dyDescent="0.2">
      <c r="A19" s="27">
        <v>13</v>
      </c>
      <c r="B19" s="28" t="s">
        <v>339</v>
      </c>
      <c r="C19" s="28" t="s">
        <v>340</v>
      </c>
      <c r="D19" s="28" t="s">
        <v>33</v>
      </c>
      <c r="E19" s="29">
        <v>401535</v>
      </c>
      <c r="F19" s="30">
        <v>3959.5366349999999</v>
      </c>
      <c r="G19" s="31">
        <v>2.0006630000000001E-2</v>
      </c>
      <c r="H19" s="24" t="s">
        <v>146</v>
      </c>
    </row>
    <row r="20" spans="1:8" x14ac:dyDescent="0.2">
      <c r="A20" s="27">
        <v>14</v>
      </c>
      <c r="B20" s="28" t="s">
        <v>644</v>
      </c>
      <c r="C20" s="28" t="s">
        <v>645</v>
      </c>
      <c r="D20" s="28" t="s">
        <v>120</v>
      </c>
      <c r="E20" s="29">
        <v>50000</v>
      </c>
      <c r="F20" s="30">
        <v>3942.55</v>
      </c>
      <c r="G20" s="31">
        <v>1.9920799999999999E-2</v>
      </c>
      <c r="H20" s="24" t="s">
        <v>146</v>
      </c>
    </row>
    <row r="21" spans="1:8" x14ac:dyDescent="0.2">
      <c r="A21" s="27">
        <v>15</v>
      </c>
      <c r="B21" s="28" t="s">
        <v>441</v>
      </c>
      <c r="C21" s="28" t="s">
        <v>442</v>
      </c>
      <c r="D21" s="28" t="s">
        <v>349</v>
      </c>
      <c r="E21" s="29">
        <v>147000</v>
      </c>
      <c r="F21" s="30">
        <v>3629.136</v>
      </c>
      <c r="G21" s="31">
        <v>1.833719E-2</v>
      </c>
      <c r="H21" s="24" t="s">
        <v>146</v>
      </c>
    </row>
    <row r="22" spans="1:8" x14ac:dyDescent="0.2">
      <c r="A22" s="27">
        <v>16</v>
      </c>
      <c r="B22" s="28" t="s">
        <v>448</v>
      </c>
      <c r="C22" s="28" t="s">
        <v>449</v>
      </c>
      <c r="D22" s="28" t="s">
        <v>33</v>
      </c>
      <c r="E22" s="29">
        <v>344000</v>
      </c>
      <c r="F22" s="30">
        <v>3409.7280000000001</v>
      </c>
      <c r="G22" s="31">
        <v>1.7228569999999999E-2</v>
      </c>
      <c r="H22" s="24" t="s">
        <v>146</v>
      </c>
    </row>
    <row r="23" spans="1:8" x14ac:dyDescent="0.2">
      <c r="A23" s="27">
        <v>17</v>
      </c>
      <c r="B23" s="28" t="s">
        <v>530</v>
      </c>
      <c r="C23" s="28" t="s">
        <v>531</v>
      </c>
      <c r="D23" s="28" t="s">
        <v>195</v>
      </c>
      <c r="E23" s="29">
        <v>201000</v>
      </c>
      <c r="F23" s="30">
        <v>3365.6444999999999</v>
      </c>
      <c r="G23" s="31">
        <v>1.700583E-2</v>
      </c>
      <c r="H23" s="24" t="s">
        <v>146</v>
      </c>
    </row>
    <row r="24" spans="1:8" x14ac:dyDescent="0.2">
      <c r="A24" s="27">
        <v>18</v>
      </c>
      <c r="B24" s="28" t="s">
        <v>90</v>
      </c>
      <c r="C24" s="28" t="s">
        <v>91</v>
      </c>
      <c r="D24" s="28" t="s">
        <v>36</v>
      </c>
      <c r="E24" s="29">
        <v>500000</v>
      </c>
      <c r="F24" s="30">
        <v>3351.75</v>
      </c>
      <c r="G24" s="31">
        <v>1.6935619999999998E-2</v>
      </c>
      <c r="H24" s="24" t="s">
        <v>146</v>
      </c>
    </row>
    <row r="25" spans="1:8" x14ac:dyDescent="0.2">
      <c r="A25" s="27">
        <v>19</v>
      </c>
      <c r="B25" s="28" t="s">
        <v>234</v>
      </c>
      <c r="C25" s="28" t="s">
        <v>235</v>
      </c>
      <c r="D25" s="28" t="s">
        <v>205</v>
      </c>
      <c r="E25" s="29">
        <v>42000</v>
      </c>
      <c r="F25" s="30">
        <v>3243.9540000000002</v>
      </c>
      <c r="G25" s="31">
        <v>1.6390950000000001E-2</v>
      </c>
      <c r="H25" s="24" t="s">
        <v>146</v>
      </c>
    </row>
    <row r="26" spans="1:8" ht="25.5" x14ac:dyDescent="0.2">
      <c r="A26" s="27">
        <v>20</v>
      </c>
      <c r="B26" s="28" t="s">
        <v>367</v>
      </c>
      <c r="C26" s="28" t="s">
        <v>368</v>
      </c>
      <c r="D26" s="28" t="s">
        <v>198</v>
      </c>
      <c r="E26" s="29">
        <v>260000</v>
      </c>
      <c r="F26" s="30">
        <v>3046.94</v>
      </c>
      <c r="G26" s="31">
        <v>1.539549E-2</v>
      </c>
      <c r="H26" s="24" t="s">
        <v>146</v>
      </c>
    </row>
    <row r="27" spans="1:8" ht="25.5" x14ac:dyDescent="0.2">
      <c r="A27" s="27">
        <v>21</v>
      </c>
      <c r="B27" s="28" t="s">
        <v>361</v>
      </c>
      <c r="C27" s="28" t="s">
        <v>362</v>
      </c>
      <c r="D27" s="28" t="s">
        <v>120</v>
      </c>
      <c r="E27" s="29">
        <v>235000</v>
      </c>
      <c r="F27" s="30">
        <v>3021.7474999999999</v>
      </c>
      <c r="G27" s="31">
        <v>1.5268199999999999E-2</v>
      </c>
      <c r="H27" s="24" t="s">
        <v>146</v>
      </c>
    </row>
    <row r="28" spans="1:8" x14ac:dyDescent="0.2">
      <c r="A28" s="27">
        <v>22</v>
      </c>
      <c r="B28" s="28" t="s">
        <v>526</v>
      </c>
      <c r="C28" s="28" t="s">
        <v>527</v>
      </c>
      <c r="D28" s="28" t="s">
        <v>275</v>
      </c>
      <c r="E28" s="29">
        <v>24000</v>
      </c>
      <c r="F28" s="30">
        <v>2954.556</v>
      </c>
      <c r="G28" s="31">
        <v>1.492869E-2</v>
      </c>
      <c r="H28" s="24" t="s">
        <v>146</v>
      </c>
    </row>
    <row r="29" spans="1:8" x14ac:dyDescent="0.2">
      <c r="A29" s="27">
        <v>23</v>
      </c>
      <c r="B29" s="28" t="s">
        <v>680</v>
      </c>
      <c r="C29" s="28" t="s">
        <v>681</v>
      </c>
      <c r="D29" s="28" t="s">
        <v>39</v>
      </c>
      <c r="E29" s="29">
        <v>161000</v>
      </c>
      <c r="F29" s="30">
        <v>2926.2555000000002</v>
      </c>
      <c r="G29" s="31">
        <v>1.4785700000000001E-2</v>
      </c>
      <c r="H29" s="24" t="s">
        <v>146</v>
      </c>
    </row>
    <row r="30" spans="1:8" x14ac:dyDescent="0.2">
      <c r="A30" s="27">
        <v>24</v>
      </c>
      <c r="B30" s="28" t="s">
        <v>695</v>
      </c>
      <c r="C30" s="28" t="s">
        <v>696</v>
      </c>
      <c r="D30" s="28" t="s">
        <v>233</v>
      </c>
      <c r="E30" s="29">
        <v>46000</v>
      </c>
      <c r="F30" s="30">
        <v>2861.8440000000001</v>
      </c>
      <c r="G30" s="31">
        <v>1.4460239999999999E-2</v>
      </c>
      <c r="H30" s="24" t="s">
        <v>146</v>
      </c>
    </row>
    <row r="31" spans="1:8" x14ac:dyDescent="0.2">
      <c r="A31" s="27">
        <v>25</v>
      </c>
      <c r="B31" s="28" t="s">
        <v>805</v>
      </c>
      <c r="C31" s="28" t="s">
        <v>806</v>
      </c>
      <c r="D31" s="28" t="s">
        <v>39</v>
      </c>
      <c r="E31" s="29">
        <v>195000</v>
      </c>
      <c r="F31" s="30">
        <v>2528.7600000000002</v>
      </c>
      <c r="G31" s="31">
        <v>1.277724E-2</v>
      </c>
      <c r="H31" s="24" t="s">
        <v>146</v>
      </c>
    </row>
    <row r="32" spans="1:8" x14ac:dyDescent="0.2">
      <c r="A32" s="27">
        <v>26</v>
      </c>
      <c r="B32" s="28" t="s">
        <v>463</v>
      </c>
      <c r="C32" s="28" t="s">
        <v>464</v>
      </c>
      <c r="D32" s="28" t="s">
        <v>120</v>
      </c>
      <c r="E32" s="29">
        <v>273702</v>
      </c>
      <c r="F32" s="30">
        <v>2403.6509639999999</v>
      </c>
      <c r="G32" s="31">
        <v>1.2145100000000001E-2</v>
      </c>
      <c r="H32" s="24" t="s">
        <v>146</v>
      </c>
    </row>
    <row r="33" spans="1:8" x14ac:dyDescent="0.2">
      <c r="A33" s="27">
        <v>27</v>
      </c>
      <c r="B33" s="28" t="s">
        <v>738</v>
      </c>
      <c r="C33" s="28" t="s">
        <v>739</v>
      </c>
      <c r="D33" s="28" t="s">
        <v>208</v>
      </c>
      <c r="E33" s="29">
        <v>127000</v>
      </c>
      <c r="F33" s="30">
        <v>2282.0630000000001</v>
      </c>
      <c r="G33" s="31">
        <v>1.1530739999999999E-2</v>
      </c>
      <c r="H33" s="24" t="s">
        <v>146</v>
      </c>
    </row>
    <row r="34" spans="1:8" x14ac:dyDescent="0.2">
      <c r="A34" s="27">
        <v>28</v>
      </c>
      <c r="B34" s="28" t="s">
        <v>363</v>
      </c>
      <c r="C34" s="28" t="s">
        <v>364</v>
      </c>
      <c r="D34" s="28" t="s">
        <v>39</v>
      </c>
      <c r="E34" s="29">
        <v>64000</v>
      </c>
      <c r="F34" s="30">
        <v>2233.7600000000002</v>
      </c>
      <c r="G34" s="31">
        <v>1.128668E-2</v>
      </c>
      <c r="H34" s="24" t="s">
        <v>146</v>
      </c>
    </row>
    <row r="35" spans="1:8" ht="25.5" x14ac:dyDescent="0.2">
      <c r="A35" s="27">
        <v>29</v>
      </c>
      <c r="B35" s="28" t="s">
        <v>437</v>
      </c>
      <c r="C35" s="28" t="s">
        <v>438</v>
      </c>
      <c r="D35" s="28" t="s">
        <v>198</v>
      </c>
      <c r="E35" s="29">
        <v>149000</v>
      </c>
      <c r="F35" s="30">
        <v>2204.306</v>
      </c>
      <c r="G35" s="31">
        <v>1.1137849999999999E-2</v>
      </c>
      <c r="H35" s="24" t="s">
        <v>146</v>
      </c>
    </row>
    <row r="36" spans="1:8" x14ac:dyDescent="0.2">
      <c r="A36" s="27">
        <v>30</v>
      </c>
      <c r="B36" s="28" t="s">
        <v>807</v>
      </c>
      <c r="C36" s="28" t="s">
        <v>808</v>
      </c>
      <c r="D36" s="28" t="s">
        <v>205</v>
      </c>
      <c r="E36" s="29">
        <v>512164</v>
      </c>
      <c r="F36" s="30">
        <v>2131.1144039999999</v>
      </c>
      <c r="G36" s="31">
        <v>1.076803E-2</v>
      </c>
      <c r="H36" s="24" t="s">
        <v>146</v>
      </c>
    </row>
    <row r="37" spans="1:8" x14ac:dyDescent="0.2">
      <c r="A37" s="27">
        <v>31</v>
      </c>
      <c r="B37" s="28" t="s">
        <v>333</v>
      </c>
      <c r="C37" s="28" t="s">
        <v>334</v>
      </c>
      <c r="D37" s="28" t="s">
        <v>33</v>
      </c>
      <c r="E37" s="29">
        <v>110000</v>
      </c>
      <c r="F37" s="30">
        <v>2091.4299999999998</v>
      </c>
      <c r="G37" s="31">
        <v>1.056752E-2</v>
      </c>
      <c r="H37" s="24" t="s">
        <v>146</v>
      </c>
    </row>
    <row r="38" spans="1:8" ht="25.5" x14ac:dyDescent="0.2">
      <c r="A38" s="27">
        <v>32</v>
      </c>
      <c r="B38" s="28" t="s">
        <v>703</v>
      </c>
      <c r="C38" s="28" t="s">
        <v>704</v>
      </c>
      <c r="D38" s="28" t="s">
        <v>25</v>
      </c>
      <c r="E38" s="29">
        <v>110137</v>
      </c>
      <c r="F38" s="30">
        <v>2055.5418995</v>
      </c>
      <c r="G38" s="31">
        <v>1.038618E-2</v>
      </c>
      <c r="H38" s="24" t="s">
        <v>146</v>
      </c>
    </row>
    <row r="39" spans="1:8" x14ac:dyDescent="0.2">
      <c r="A39" s="27">
        <v>33</v>
      </c>
      <c r="B39" s="28" t="s">
        <v>125</v>
      </c>
      <c r="C39" s="28" t="s">
        <v>126</v>
      </c>
      <c r="D39" s="28" t="s">
        <v>80</v>
      </c>
      <c r="E39" s="29">
        <v>629000</v>
      </c>
      <c r="F39" s="30">
        <v>2019.4045000000001</v>
      </c>
      <c r="G39" s="31">
        <v>1.020359E-2</v>
      </c>
      <c r="H39" s="24" t="s">
        <v>146</v>
      </c>
    </row>
    <row r="40" spans="1:8" ht="25.5" x14ac:dyDescent="0.2">
      <c r="A40" s="27">
        <v>34</v>
      </c>
      <c r="B40" s="28" t="s">
        <v>773</v>
      </c>
      <c r="C40" s="28" t="s">
        <v>774</v>
      </c>
      <c r="D40" s="28" t="s">
        <v>258</v>
      </c>
      <c r="E40" s="29">
        <v>70000</v>
      </c>
      <c r="F40" s="30">
        <v>2010.19</v>
      </c>
      <c r="G40" s="31">
        <v>1.0157029999999999E-2</v>
      </c>
      <c r="H40" s="24" t="s">
        <v>146</v>
      </c>
    </row>
    <row r="41" spans="1:8" x14ac:dyDescent="0.2">
      <c r="A41" s="27">
        <v>35</v>
      </c>
      <c r="B41" s="28" t="s">
        <v>221</v>
      </c>
      <c r="C41" s="28" t="s">
        <v>222</v>
      </c>
      <c r="D41" s="28" t="s">
        <v>223</v>
      </c>
      <c r="E41" s="29">
        <v>285000</v>
      </c>
      <c r="F41" s="30">
        <v>2006.115</v>
      </c>
      <c r="G41" s="31">
        <v>1.013644E-2</v>
      </c>
      <c r="H41" s="24" t="s">
        <v>146</v>
      </c>
    </row>
    <row r="42" spans="1:8" ht="25.5" x14ac:dyDescent="0.2">
      <c r="A42" s="27">
        <v>36</v>
      </c>
      <c r="B42" s="28" t="s">
        <v>443</v>
      </c>
      <c r="C42" s="28" t="s">
        <v>444</v>
      </c>
      <c r="D42" s="28" t="s">
        <v>218</v>
      </c>
      <c r="E42" s="29">
        <v>193000</v>
      </c>
      <c r="F42" s="30">
        <v>1977.5744999999999</v>
      </c>
      <c r="G42" s="31">
        <v>9.9922299999999995E-3</v>
      </c>
      <c r="H42" s="24" t="s">
        <v>146</v>
      </c>
    </row>
    <row r="43" spans="1:8" x14ac:dyDescent="0.2">
      <c r="A43" s="27">
        <v>37</v>
      </c>
      <c r="B43" s="28" t="s">
        <v>34</v>
      </c>
      <c r="C43" s="28" t="s">
        <v>35</v>
      </c>
      <c r="D43" s="28" t="s">
        <v>36</v>
      </c>
      <c r="E43" s="29">
        <v>109000</v>
      </c>
      <c r="F43" s="30">
        <v>1948.375</v>
      </c>
      <c r="G43" s="31">
        <v>9.8446899999999997E-3</v>
      </c>
      <c r="H43" s="24" t="s">
        <v>146</v>
      </c>
    </row>
    <row r="44" spans="1:8" ht="25.5" x14ac:dyDescent="0.2">
      <c r="A44" s="27">
        <v>38</v>
      </c>
      <c r="B44" s="28" t="s">
        <v>73</v>
      </c>
      <c r="C44" s="28" t="s">
        <v>74</v>
      </c>
      <c r="D44" s="28" t="s">
        <v>75</v>
      </c>
      <c r="E44" s="29">
        <v>175000</v>
      </c>
      <c r="F44" s="30">
        <v>1923.8625</v>
      </c>
      <c r="G44" s="31">
        <v>9.7208399999999997E-3</v>
      </c>
      <c r="H44" s="24" t="s">
        <v>146</v>
      </c>
    </row>
    <row r="45" spans="1:8" x14ac:dyDescent="0.2">
      <c r="A45" s="27">
        <v>39</v>
      </c>
      <c r="B45" s="28" t="s">
        <v>524</v>
      </c>
      <c r="C45" s="28" t="s">
        <v>525</v>
      </c>
      <c r="D45" s="28" t="s">
        <v>226</v>
      </c>
      <c r="E45" s="29">
        <v>135000</v>
      </c>
      <c r="F45" s="30">
        <v>1922.4</v>
      </c>
      <c r="G45" s="31">
        <v>9.7134500000000002E-3</v>
      </c>
      <c r="H45" s="24" t="s">
        <v>146</v>
      </c>
    </row>
    <row r="46" spans="1:8" x14ac:dyDescent="0.2">
      <c r="A46" s="27">
        <v>40</v>
      </c>
      <c r="B46" s="28" t="s">
        <v>331</v>
      </c>
      <c r="C46" s="28" t="s">
        <v>332</v>
      </c>
      <c r="D46" s="28" t="s">
        <v>205</v>
      </c>
      <c r="E46" s="29">
        <v>863000</v>
      </c>
      <c r="F46" s="30">
        <v>1901.6205</v>
      </c>
      <c r="G46" s="31">
        <v>9.6084499999999993E-3</v>
      </c>
      <c r="H46" s="24" t="s">
        <v>146</v>
      </c>
    </row>
    <row r="47" spans="1:8" ht="25.5" x14ac:dyDescent="0.2">
      <c r="A47" s="27">
        <v>41</v>
      </c>
      <c r="B47" s="28" t="s">
        <v>121</v>
      </c>
      <c r="C47" s="28" t="s">
        <v>122</v>
      </c>
      <c r="D47" s="28" t="s">
        <v>96</v>
      </c>
      <c r="E47" s="29">
        <v>287000</v>
      </c>
      <c r="F47" s="30">
        <v>1812.692</v>
      </c>
      <c r="G47" s="31">
        <v>9.1591199999999998E-3</v>
      </c>
      <c r="H47" s="24" t="s">
        <v>146</v>
      </c>
    </row>
    <row r="48" spans="1:8" x14ac:dyDescent="0.2">
      <c r="A48" s="27">
        <v>42</v>
      </c>
      <c r="B48" s="28" t="s">
        <v>357</v>
      </c>
      <c r="C48" s="28" t="s">
        <v>358</v>
      </c>
      <c r="D48" s="28" t="s">
        <v>275</v>
      </c>
      <c r="E48" s="29">
        <v>250000</v>
      </c>
      <c r="F48" s="30">
        <v>1790.25</v>
      </c>
      <c r="G48" s="31">
        <v>9.0457200000000001E-3</v>
      </c>
      <c r="H48" s="24" t="s">
        <v>146</v>
      </c>
    </row>
    <row r="49" spans="1:8" ht="25.5" x14ac:dyDescent="0.2">
      <c r="A49" s="27">
        <v>43</v>
      </c>
      <c r="B49" s="28" t="s">
        <v>285</v>
      </c>
      <c r="C49" s="28" t="s">
        <v>286</v>
      </c>
      <c r="D49" s="28" t="s">
        <v>190</v>
      </c>
      <c r="E49" s="29">
        <v>50000</v>
      </c>
      <c r="F49" s="30">
        <v>1741.875</v>
      </c>
      <c r="G49" s="31">
        <v>8.8012899999999998E-3</v>
      </c>
      <c r="H49" s="24" t="s">
        <v>146</v>
      </c>
    </row>
    <row r="50" spans="1:8" x14ac:dyDescent="0.2">
      <c r="A50" s="27">
        <v>44</v>
      </c>
      <c r="B50" s="28" t="s">
        <v>20</v>
      </c>
      <c r="C50" s="28" t="s">
        <v>21</v>
      </c>
      <c r="D50" s="28" t="s">
        <v>22</v>
      </c>
      <c r="E50" s="29">
        <v>525000</v>
      </c>
      <c r="F50" s="30">
        <v>1701</v>
      </c>
      <c r="G50" s="31">
        <v>8.5947599999999999E-3</v>
      </c>
      <c r="H50" s="24" t="s">
        <v>146</v>
      </c>
    </row>
    <row r="51" spans="1:8" x14ac:dyDescent="0.2">
      <c r="A51" s="27">
        <v>45</v>
      </c>
      <c r="B51" s="28" t="s">
        <v>186</v>
      </c>
      <c r="C51" s="28" t="s">
        <v>187</v>
      </c>
      <c r="D51" s="28" t="s">
        <v>33</v>
      </c>
      <c r="E51" s="29">
        <v>865456</v>
      </c>
      <c r="F51" s="30">
        <v>1620.2201775999999</v>
      </c>
      <c r="G51" s="31">
        <v>8.1866000000000005E-3</v>
      </c>
      <c r="H51" s="24" t="s">
        <v>146</v>
      </c>
    </row>
    <row r="52" spans="1:8" x14ac:dyDescent="0.2">
      <c r="A52" s="27">
        <v>46</v>
      </c>
      <c r="B52" s="28" t="s">
        <v>809</v>
      </c>
      <c r="C52" s="28" t="s">
        <v>810</v>
      </c>
      <c r="D52" s="28" t="s">
        <v>56</v>
      </c>
      <c r="E52" s="29">
        <v>356000</v>
      </c>
      <c r="F52" s="30">
        <v>1496.8019999999999</v>
      </c>
      <c r="G52" s="31">
        <v>7.5630000000000003E-3</v>
      </c>
      <c r="H52" s="24" t="s">
        <v>146</v>
      </c>
    </row>
    <row r="53" spans="1:8" x14ac:dyDescent="0.2">
      <c r="A53" s="27">
        <v>47</v>
      </c>
      <c r="B53" s="28" t="s">
        <v>224</v>
      </c>
      <c r="C53" s="28" t="s">
        <v>225</v>
      </c>
      <c r="D53" s="28" t="s">
        <v>226</v>
      </c>
      <c r="E53" s="29">
        <v>64000</v>
      </c>
      <c r="F53" s="30">
        <v>1373.44</v>
      </c>
      <c r="G53" s="31">
        <v>6.9396800000000002E-3</v>
      </c>
      <c r="H53" s="24" t="s">
        <v>146</v>
      </c>
    </row>
    <row r="54" spans="1:8" x14ac:dyDescent="0.2">
      <c r="A54" s="27">
        <v>48</v>
      </c>
      <c r="B54" s="28" t="s">
        <v>315</v>
      </c>
      <c r="C54" s="28" t="s">
        <v>316</v>
      </c>
      <c r="D54" s="28" t="s">
        <v>39</v>
      </c>
      <c r="E54" s="29">
        <v>135000</v>
      </c>
      <c r="F54" s="30">
        <v>1338.39</v>
      </c>
      <c r="G54" s="31">
        <v>6.7625799999999998E-3</v>
      </c>
      <c r="H54" s="24" t="s">
        <v>146</v>
      </c>
    </row>
    <row r="55" spans="1:8" x14ac:dyDescent="0.2">
      <c r="A55" s="27">
        <v>49</v>
      </c>
      <c r="B55" s="28" t="s">
        <v>227</v>
      </c>
      <c r="C55" s="28" t="s">
        <v>228</v>
      </c>
      <c r="D55" s="28" t="s">
        <v>83</v>
      </c>
      <c r="E55" s="29">
        <v>301000</v>
      </c>
      <c r="F55" s="30">
        <v>1316.2729999999999</v>
      </c>
      <c r="G55" s="31">
        <v>6.6508299999999999E-3</v>
      </c>
      <c r="H55" s="24" t="s">
        <v>146</v>
      </c>
    </row>
    <row r="56" spans="1:8" ht="25.5" x14ac:dyDescent="0.2">
      <c r="A56" s="27">
        <v>50</v>
      </c>
      <c r="B56" s="28" t="s">
        <v>415</v>
      </c>
      <c r="C56" s="28" t="s">
        <v>416</v>
      </c>
      <c r="D56" s="28" t="s">
        <v>198</v>
      </c>
      <c r="E56" s="29">
        <v>224818</v>
      </c>
      <c r="F56" s="30">
        <v>1313.0495289999999</v>
      </c>
      <c r="G56" s="31">
        <v>6.6345400000000004E-3</v>
      </c>
      <c r="H56" s="24" t="s">
        <v>146</v>
      </c>
    </row>
    <row r="57" spans="1:8" ht="25.5" x14ac:dyDescent="0.2">
      <c r="A57" s="27">
        <v>51</v>
      </c>
      <c r="B57" s="28" t="s">
        <v>471</v>
      </c>
      <c r="C57" s="28" t="s">
        <v>472</v>
      </c>
      <c r="D57" s="28" t="s">
        <v>198</v>
      </c>
      <c r="E57" s="29">
        <v>8235</v>
      </c>
      <c r="F57" s="30">
        <v>1163.0578725</v>
      </c>
      <c r="G57" s="31">
        <v>5.8766599999999997E-3</v>
      </c>
      <c r="H57" s="24" t="s">
        <v>146</v>
      </c>
    </row>
    <row r="58" spans="1:8" x14ac:dyDescent="0.2">
      <c r="A58" s="27">
        <v>52</v>
      </c>
      <c r="B58" s="28" t="s">
        <v>97</v>
      </c>
      <c r="C58" s="28" t="s">
        <v>98</v>
      </c>
      <c r="D58" s="28" t="s">
        <v>99</v>
      </c>
      <c r="E58" s="29">
        <v>651000</v>
      </c>
      <c r="F58" s="30">
        <v>1153.0512000000001</v>
      </c>
      <c r="G58" s="31">
        <v>5.8260999999999999E-3</v>
      </c>
      <c r="H58" s="24" t="s">
        <v>146</v>
      </c>
    </row>
    <row r="59" spans="1:8" x14ac:dyDescent="0.2">
      <c r="A59" s="27">
        <v>53</v>
      </c>
      <c r="B59" s="28" t="s">
        <v>504</v>
      </c>
      <c r="C59" s="28" t="s">
        <v>505</v>
      </c>
      <c r="D59" s="28" t="s">
        <v>233</v>
      </c>
      <c r="E59" s="29">
        <v>53674</v>
      </c>
      <c r="F59" s="30">
        <v>1090.6556800000001</v>
      </c>
      <c r="G59" s="31">
        <v>5.5108300000000004E-3</v>
      </c>
      <c r="H59" s="24" t="s">
        <v>146</v>
      </c>
    </row>
    <row r="60" spans="1:8" ht="25.5" x14ac:dyDescent="0.2">
      <c r="A60" s="27">
        <v>54</v>
      </c>
      <c r="B60" s="28" t="s">
        <v>293</v>
      </c>
      <c r="C60" s="28" t="s">
        <v>294</v>
      </c>
      <c r="D60" s="28" t="s">
        <v>198</v>
      </c>
      <c r="E60" s="29">
        <v>44000</v>
      </c>
      <c r="F60" s="30">
        <v>1071.576</v>
      </c>
      <c r="G60" s="31">
        <v>5.4144299999999996E-3</v>
      </c>
      <c r="H60" s="24" t="s">
        <v>146</v>
      </c>
    </row>
    <row r="61" spans="1:8" x14ac:dyDescent="0.2">
      <c r="A61" s="27">
        <v>55</v>
      </c>
      <c r="B61" s="28" t="s">
        <v>352</v>
      </c>
      <c r="C61" s="28" t="s">
        <v>353</v>
      </c>
      <c r="D61" s="28" t="s">
        <v>354</v>
      </c>
      <c r="E61" s="29">
        <v>66000</v>
      </c>
      <c r="F61" s="30">
        <v>995.24699999999996</v>
      </c>
      <c r="G61" s="31">
        <v>5.0287500000000002E-3</v>
      </c>
      <c r="H61" s="24" t="s">
        <v>146</v>
      </c>
    </row>
    <row r="62" spans="1:8" x14ac:dyDescent="0.2">
      <c r="A62" s="27">
        <v>56</v>
      </c>
      <c r="B62" s="28" t="s">
        <v>219</v>
      </c>
      <c r="C62" s="28" t="s">
        <v>220</v>
      </c>
      <c r="D62" s="28" t="s">
        <v>16</v>
      </c>
      <c r="E62" s="29">
        <v>271000</v>
      </c>
      <c r="F62" s="30">
        <v>970.85749999999996</v>
      </c>
      <c r="G62" s="31">
        <v>4.90552E-3</v>
      </c>
      <c r="H62" s="24" t="s">
        <v>146</v>
      </c>
    </row>
    <row r="63" spans="1:8" x14ac:dyDescent="0.2">
      <c r="A63" s="27">
        <v>57</v>
      </c>
      <c r="B63" s="28" t="s">
        <v>278</v>
      </c>
      <c r="C63" s="28" t="s">
        <v>279</v>
      </c>
      <c r="D63" s="28" t="s">
        <v>280</v>
      </c>
      <c r="E63" s="29">
        <v>155000</v>
      </c>
      <c r="F63" s="30">
        <v>954.8</v>
      </c>
      <c r="G63" s="31">
        <v>4.8243899999999996E-3</v>
      </c>
      <c r="H63" s="24" t="s">
        <v>146</v>
      </c>
    </row>
    <row r="64" spans="1:8" x14ac:dyDescent="0.2">
      <c r="A64" s="27">
        <v>58</v>
      </c>
      <c r="B64" s="28" t="s">
        <v>291</v>
      </c>
      <c r="C64" s="28" t="s">
        <v>292</v>
      </c>
      <c r="D64" s="28" t="s">
        <v>280</v>
      </c>
      <c r="E64" s="29">
        <v>84000</v>
      </c>
      <c r="F64" s="30">
        <v>937.23</v>
      </c>
      <c r="G64" s="31">
        <v>4.7356100000000003E-3</v>
      </c>
      <c r="H64" s="24" t="s">
        <v>146</v>
      </c>
    </row>
    <row r="65" spans="1:8" x14ac:dyDescent="0.2">
      <c r="A65" s="27">
        <v>59</v>
      </c>
      <c r="B65" s="28" t="s">
        <v>811</v>
      </c>
      <c r="C65" s="28" t="s">
        <v>812</v>
      </c>
      <c r="D65" s="28" t="s">
        <v>275</v>
      </c>
      <c r="E65" s="29">
        <v>53060</v>
      </c>
      <c r="F65" s="30">
        <v>890.10802999999999</v>
      </c>
      <c r="G65" s="31">
        <v>4.4975099999999997E-3</v>
      </c>
      <c r="H65" s="24" t="s">
        <v>146</v>
      </c>
    </row>
    <row r="66" spans="1:8" x14ac:dyDescent="0.2">
      <c r="A66" s="27">
        <v>60</v>
      </c>
      <c r="B66" s="28" t="s">
        <v>114</v>
      </c>
      <c r="C66" s="28" t="s">
        <v>115</v>
      </c>
      <c r="D66" s="28" t="s">
        <v>83</v>
      </c>
      <c r="E66" s="29">
        <v>21000</v>
      </c>
      <c r="F66" s="30">
        <v>719.41800000000001</v>
      </c>
      <c r="G66" s="31">
        <v>3.6350499999999999E-3</v>
      </c>
      <c r="H66" s="24" t="s">
        <v>146</v>
      </c>
    </row>
    <row r="67" spans="1:8" x14ac:dyDescent="0.2">
      <c r="A67" s="27">
        <v>61</v>
      </c>
      <c r="B67" s="28" t="s">
        <v>63</v>
      </c>
      <c r="C67" s="28" t="s">
        <v>64</v>
      </c>
      <c r="D67" s="28" t="s">
        <v>19</v>
      </c>
      <c r="E67" s="29">
        <v>42000</v>
      </c>
      <c r="F67" s="30">
        <v>569.05799999999999</v>
      </c>
      <c r="G67" s="31">
        <v>2.8753199999999998E-3</v>
      </c>
      <c r="H67" s="24" t="s">
        <v>146</v>
      </c>
    </row>
    <row r="68" spans="1:8" x14ac:dyDescent="0.2">
      <c r="A68" s="27">
        <v>62</v>
      </c>
      <c r="B68" s="28" t="s">
        <v>423</v>
      </c>
      <c r="C68" s="28" t="s">
        <v>424</v>
      </c>
      <c r="D68" s="28" t="s">
        <v>39</v>
      </c>
      <c r="E68" s="29">
        <v>86827</v>
      </c>
      <c r="F68" s="30">
        <v>538.50105399999995</v>
      </c>
      <c r="G68" s="31">
        <v>2.7209199999999999E-3</v>
      </c>
      <c r="H68" s="24" t="s">
        <v>146</v>
      </c>
    </row>
    <row r="69" spans="1:8" x14ac:dyDescent="0.2">
      <c r="A69" s="27">
        <v>63</v>
      </c>
      <c r="B69" s="28" t="s">
        <v>453</v>
      </c>
      <c r="C69" s="28" t="s">
        <v>454</v>
      </c>
      <c r="D69" s="28" t="s">
        <v>223</v>
      </c>
      <c r="E69" s="29">
        <v>97000</v>
      </c>
      <c r="F69" s="30">
        <v>158.0615</v>
      </c>
      <c r="G69" s="31">
        <v>7.9865000000000003E-4</v>
      </c>
      <c r="H69" s="24" t="s">
        <v>146</v>
      </c>
    </row>
    <row r="70" spans="1:8" x14ac:dyDescent="0.2">
      <c r="A70" s="25"/>
      <c r="B70" s="25"/>
      <c r="C70" s="26" t="s">
        <v>145</v>
      </c>
      <c r="D70" s="25"/>
      <c r="E70" s="25" t="s">
        <v>146</v>
      </c>
      <c r="F70" s="32">
        <v>192233.83126760001</v>
      </c>
      <c r="G70" s="33">
        <v>0.97131339000000005</v>
      </c>
      <c r="H70" s="24" t="s">
        <v>146</v>
      </c>
    </row>
    <row r="71" spans="1:8" x14ac:dyDescent="0.2">
      <c r="A71" s="25"/>
      <c r="B71" s="25"/>
      <c r="C71" s="34"/>
      <c r="D71" s="25"/>
      <c r="E71" s="25"/>
      <c r="F71" s="35"/>
      <c r="G71" s="35"/>
      <c r="H71" s="24" t="s">
        <v>146</v>
      </c>
    </row>
    <row r="72" spans="1:8" x14ac:dyDescent="0.2">
      <c r="A72" s="25"/>
      <c r="B72" s="25"/>
      <c r="C72" s="26" t="s">
        <v>147</v>
      </c>
      <c r="D72" s="25"/>
      <c r="E72" s="25"/>
      <c r="F72" s="25"/>
      <c r="G72" s="25"/>
      <c r="H72" s="24" t="s">
        <v>146</v>
      </c>
    </row>
    <row r="73" spans="1:8" x14ac:dyDescent="0.2">
      <c r="A73" s="25"/>
      <c r="B73" s="25"/>
      <c r="C73" s="26" t="s">
        <v>145</v>
      </c>
      <c r="D73" s="25"/>
      <c r="E73" s="25" t="s">
        <v>146</v>
      </c>
      <c r="F73" s="36" t="s">
        <v>148</v>
      </c>
      <c r="G73" s="33">
        <v>0</v>
      </c>
      <c r="H73" s="24" t="s">
        <v>146</v>
      </c>
    </row>
    <row r="74" spans="1:8" x14ac:dyDescent="0.2">
      <c r="A74" s="25"/>
      <c r="B74" s="25"/>
      <c r="C74" s="34"/>
      <c r="D74" s="25"/>
      <c r="E74" s="25"/>
      <c r="F74" s="35"/>
      <c r="G74" s="35"/>
      <c r="H74" s="24" t="s">
        <v>146</v>
      </c>
    </row>
    <row r="75" spans="1:8" x14ac:dyDescent="0.2">
      <c r="A75" s="25"/>
      <c r="B75" s="25"/>
      <c r="C75" s="26" t="s">
        <v>149</v>
      </c>
      <c r="D75" s="25"/>
      <c r="E75" s="25"/>
      <c r="F75" s="25"/>
      <c r="G75" s="25"/>
      <c r="H75" s="24" t="s">
        <v>146</v>
      </c>
    </row>
    <row r="76" spans="1:8" x14ac:dyDescent="0.2">
      <c r="A76" s="25"/>
      <c r="B76" s="25"/>
      <c r="C76" s="26" t="s">
        <v>145</v>
      </c>
      <c r="D76" s="25"/>
      <c r="E76" s="25" t="s">
        <v>146</v>
      </c>
      <c r="F76" s="36" t="s">
        <v>148</v>
      </c>
      <c r="G76" s="33">
        <v>0</v>
      </c>
      <c r="H76" s="24" t="s">
        <v>146</v>
      </c>
    </row>
    <row r="77" spans="1:8" x14ac:dyDescent="0.2">
      <c r="A77" s="25"/>
      <c r="B77" s="25"/>
      <c r="C77" s="34"/>
      <c r="D77" s="25"/>
      <c r="E77" s="25"/>
      <c r="F77" s="35"/>
      <c r="G77" s="35"/>
      <c r="H77" s="24" t="s">
        <v>146</v>
      </c>
    </row>
    <row r="78" spans="1:8" x14ac:dyDescent="0.2">
      <c r="A78" s="25"/>
      <c r="B78" s="25"/>
      <c r="C78" s="26" t="s">
        <v>150</v>
      </c>
      <c r="D78" s="25"/>
      <c r="E78" s="25"/>
      <c r="F78" s="25"/>
      <c r="G78" s="25"/>
      <c r="H78" s="24" t="s">
        <v>146</v>
      </c>
    </row>
    <row r="79" spans="1:8" x14ac:dyDescent="0.2">
      <c r="A79" s="25"/>
      <c r="B79" s="25"/>
      <c r="C79" s="26" t="s">
        <v>145</v>
      </c>
      <c r="D79" s="25"/>
      <c r="E79" s="25" t="s">
        <v>146</v>
      </c>
      <c r="F79" s="36" t="s">
        <v>148</v>
      </c>
      <c r="G79" s="33">
        <v>0</v>
      </c>
      <c r="H79" s="24" t="s">
        <v>146</v>
      </c>
    </row>
    <row r="80" spans="1:8" x14ac:dyDescent="0.2">
      <c r="A80" s="25"/>
      <c r="B80" s="25"/>
      <c r="C80" s="34"/>
      <c r="D80" s="25"/>
      <c r="E80" s="25"/>
      <c r="F80" s="35"/>
      <c r="G80" s="35"/>
      <c r="H80" s="24" t="s">
        <v>146</v>
      </c>
    </row>
    <row r="81" spans="1:8" x14ac:dyDescent="0.2">
      <c r="A81" s="25"/>
      <c r="B81" s="25"/>
      <c r="C81" s="26" t="s">
        <v>151</v>
      </c>
      <c r="D81" s="25"/>
      <c r="E81" s="25"/>
      <c r="F81" s="35"/>
      <c r="G81" s="35"/>
      <c r="H81" s="24" t="s">
        <v>146</v>
      </c>
    </row>
    <row r="82" spans="1:8" x14ac:dyDescent="0.2">
      <c r="A82" s="25"/>
      <c r="B82" s="25"/>
      <c r="C82" s="26" t="s">
        <v>145</v>
      </c>
      <c r="D82" s="25"/>
      <c r="E82" s="25" t="s">
        <v>146</v>
      </c>
      <c r="F82" s="36" t="s">
        <v>148</v>
      </c>
      <c r="G82" s="33">
        <v>0</v>
      </c>
      <c r="H82" s="24" t="s">
        <v>146</v>
      </c>
    </row>
    <row r="83" spans="1:8" x14ac:dyDescent="0.2">
      <c r="A83" s="25"/>
      <c r="B83" s="25"/>
      <c r="C83" s="34"/>
      <c r="D83" s="25"/>
      <c r="E83" s="25"/>
      <c r="F83" s="35"/>
      <c r="G83" s="35"/>
      <c r="H83" s="24" t="s">
        <v>146</v>
      </c>
    </row>
    <row r="84" spans="1:8" x14ac:dyDescent="0.2">
      <c r="A84" s="25"/>
      <c r="B84" s="25"/>
      <c r="C84" s="26" t="s">
        <v>152</v>
      </c>
      <c r="D84" s="25"/>
      <c r="E84" s="25"/>
      <c r="F84" s="35"/>
      <c r="G84" s="35"/>
      <c r="H84" s="24" t="s">
        <v>146</v>
      </c>
    </row>
    <row r="85" spans="1:8" x14ac:dyDescent="0.2">
      <c r="A85" s="25"/>
      <c r="B85" s="25"/>
      <c r="C85" s="26" t="s">
        <v>145</v>
      </c>
      <c r="D85" s="25"/>
      <c r="E85" s="25" t="s">
        <v>146</v>
      </c>
      <c r="F85" s="36" t="s">
        <v>148</v>
      </c>
      <c r="G85" s="33">
        <v>0</v>
      </c>
      <c r="H85" s="24" t="s">
        <v>146</v>
      </c>
    </row>
    <row r="86" spans="1:8" x14ac:dyDescent="0.2">
      <c r="A86" s="25"/>
      <c r="B86" s="25"/>
      <c r="C86" s="34"/>
      <c r="D86" s="25"/>
      <c r="E86" s="25"/>
      <c r="F86" s="35"/>
      <c r="G86" s="35"/>
      <c r="H86" s="24" t="s">
        <v>146</v>
      </c>
    </row>
    <row r="87" spans="1:8" x14ac:dyDescent="0.2">
      <c r="A87" s="25"/>
      <c r="B87" s="25"/>
      <c r="C87" s="26" t="s">
        <v>153</v>
      </c>
      <c r="D87" s="25"/>
      <c r="E87" s="25"/>
      <c r="F87" s="32">
        <v>192233.83126760001</v>
      </c>
      <c r="G87" s="33">
        <v>0.97131339000000005</v>
      </c>
      <c r="H87" s="24" t="s">
        <v>146</v>
      </c>
    </row>
    <row r="88" spans="1:8" x14ac:dyDescent="0.2">
      <c r="A88" s="25"/>
      <c r="B88" s="25"/>
      <c r="C88" s="34"/>
      <c r="D88" s="25"/>
      <c r="E88" s="25"/>
      <c r="F88" s="35"/>
      <c r="G88" s="35"/>
      <c r="H88" s="24" t="s">
        <v>146</v>
      </c>
    </row>
    <row r="89" spans="1:8" x14ac:dyDescent="0.2">
      <c r="A89" s="25"/>
      <c r="B89" s="25"/>
      <c r="C89" s="26" t="s">
        <v>154</v>
      </c>
      <c r="D89" s="25"/>
      <c r="E89" s="25"/>
      <c r="F89" s="35"/>
      <c r="G89" s="35"/>
      <c r="H89" s="24" t="s">
        <v>146</v>
      </c>
    </row>
    <row r="90" spans="1:8" x14ac:dyDescent="0.2">
      <c r="A90" s="25"/>
      <c r="B90" s="25"/>
      <c r="C90" s="26" t="s">
        <v>10</v>
      </c>
      <c r="D90" s="25"/>
      <c r="E90" s="25"/>
      <c r="F90" s="35"/>
      <c r="G90" s="35"/>
      <c r="H90" s="24" t="s">
        <v>146</v>
      </c>
    </row>
    <row r="91" spans="1:8" x14ac:dyDescent="0.2">
      <c r="A91" s="25"/>
      <c r="B91" s="25"/>
      <c r="C91" s="26" t="s">
        <v>145</v>
      </c>
      <c r="D91" s="25"/>
      <c r="E91" s="25" t="s">
        <v>146</v>
      </c>
      <c r="F91" s="36" t="s">
        <v>148</v>
      </c>
      <c r="G91" s="33">
        <v>0</v>
      </c>
      <c r="H91" s="24" t="s">
        <v>146</v>
      </c>
    </row>
    <row r="92" spans="1:8" x14ac:dyDescent="0.2">
      <c r="A92" s="25"/>
      <c r="B92" s="25"/>
      <c r="C92" s="34"/>
      <c r="D92" s="25"/>
      <c r="E92" s="25"/>
      <c r="F92" s="35"/>
      <c r="G92" s="35"/>
      <c r="H92" s="24" t="s">
        <v>146</v>
      </c>
    </row>
    <row r="93" spans="1:8" x14ac:dyDescent="0.2">
      <c r="A93" s="25"/>
      <c r="B93" s="25"/>
      <c r="C93" s="26" t="s">
        <v>155</v>
      </c>
      <c r="D93" s="25"/>
      <c r="E93" s="25"/>
      <c r="F93" s="25"/>
      <c r="G93" s="25"/>
      <c r="H93" s="24" t="s">
        <v>146</v>
      </c>
    </row>
    <row r="94" spans="1:8" x14ac:dyDescent="0.2">
      <c r="A94" s="25"/>
      <c r="B94" s="25"/>
      <c r="C94" s="26" t="s">
        <v>145</v>
      </c>
      <c r="D94" s="25"/>
      <c r="E94" s="25" t="s">
        <v>146</v>
      </c>
      <c r="F94" s="36" t="s">
        <v>148</v>
      </c>
      <c r="G94" s="33">
        <v>0</v>
      </c>
      <c r="H94" s="24" t="s">
        <v>146</v>
      </c>
    </row>
    <row r="95" spans="1:8" x14ac:dyDescent="0.2">
      <c r="A95" s="25"/>
      <c r="B95" s="25"/>
      <c r="C95" s="34"/>
      <c r="D95" s="25"/>
      <c r="E95" s="25"/>
      <c r="F95" s="35"/>
      <c r="G95" s="35"/>
      <c r="H95" s="24" t="s">
        <v>146</v>
      </c>
    </row>
    <row r="96" spans="1:8" x14ac:dyDescent="0.2">
      <c r="A96" s="25"/>
      <c r="B96" s="25"/>
      <c r="C96" s="26" t="s">
        <v>156</v>
      </c>
      <c r="D96" s="25"/>
      <c r="E96" s="25"/>
      <c r="F96" s="25"/>
      <c r="G96" s="25"/>
      <c r="H96" s="24" t="s">
        <v>146</v>
      </c>
    </row>
    <row r="97" spans="1:8" x14ac:dyDescent="0.2">
      <c r="A97" s="25"/>
      <c r="B97" s="25"/>
      <c r="C97" s="26" t="s">
        <v>145</v>
      </c>
      <c r="D97" s="25"/>
      <c r="E97" s="25" t="s">
        <v>146</v>
      </c>
      <c r="F97" s="36" t="s">
        <v>148</v>
      </c>
      <c r="G97" s="33">
        <v>0</v>
      </c>
      <c r="H97" s="24" t="s">
        <v>146</v>
      </c>
    </row>
    <row r="98" spans="1:8" x14ac:dyDescent="0.2">
      <c r="A98" s="25"/>
      <c r="B98" s="25"/>
      <c r="C98" s="34"/>
      <c r="D98" s="25"/>
      <c r="E98" s="25"/>
      <c r="F98" s="35"/>
      <c r="G98" s="35"/>
      <c r="H98" s="24" t="s">
        <v>146</v>
      </c>
    </row>
    <row r="99" spans="1:8" x14ac:dyDescent="0.2">
      <c r="A99" s="25"/>
      <c r="B99" s="25"/>
      <c r="C99" s="26" t="s">
        <v>157</v>
      </c>
      <c r="D99" s="25"/>
      <c r="E99" s="25"/>
      <c r="F99" s="35"/>
      <c r="G99" s="35"/>
      <c r="H99" s="24" t="s">
        <v>146</v>
      </c>
    </row>
    <row r="100" spans="1:8" x14ac:dyDescent="0.2">
      <c r="A100" s="25"/>
      <c r="B100" s="25"/>
      <c r="C100" s="26" t="s">
        <v>145</v>
      </c>
      <c r="D100" s="25"/>
      <c r="E100" s="25" t="s">
        <v>146</v>
      </c>
      <c r="F100" s="36" t="s">
        <v>148</v>
      </c>
      <c r="G100" s="33">
        <v>0</v>
      </c>
      <c r="H100" s="24" t="s">
        <v>146</v>
      </c>
    </row>
    <row r="101" spans="1:8" x14ac:dyDescent="0.2">
      <c r="A101" s="25"/>
      <c r="B101" s="25"/>
      <c r="C101" s="34"/>
      <c r="D101" s="25"/>
      <c r="E101" s="25"/>
      <c r="F101" s="35"/>
      <c r="G101" s="35"/>
      <c r="H101" s="24" t="s">
        <v>146</v>
      </c>
    </row>
    <row r="102" spans="1:8" x14ac:dyDescent="0.2">
      <c r="A102" s="25"/>
      <c r="B102" s="25"/>
      <c r="C102" s="26" t="s">
        <v>158</v>
      </c>
      <c r="D102" s="25"/>
      <c r="E102" s="25"/>
      <c r="F102" s="32">
        <v>0</v>
      </c>
      <c r="G102" s="33">
        <v>0</v>
      </c>
      <c r="H102" s="24" t="s">
        <v>146</v>
      </c>
    </row>
    <row r="103" spans="1:8" x14ac:dyDescent="0.2">
      <c r="A103" s="25"/>
      <c r="B103" s="25"/>
      <c r="C103" s="34"/>
      <c r="D103" s="25"/>
      <c r="E103" s="25"/>
      <c r="F103" s="35"/>
      <c r="G103" s="35"/>
      <c r="H103" s="24" t="s">
        <v>146</v>
      </c>
    </row>
    <row r="104" spans="1:8" x14ac:dyDescent="0.2">
      <c r="A104" s="25"/>
      <c r="B104" s="25"/>
      <c r="C104" s="26" t="s">
        <v>159</v>
      </c>
      <c r="D104" s="25"/>
      <c r="E104" s="25"/>
      <c r="F104" s="35"/>
      <c r="G104" s="35"/>
      <c r="H104" s="24" t="s">
        <v>146</v>
      </c>
    </row>
    <row r="105" spans="1:8" x14ac:dyDescent="0.2">
      <c r="A105" s="25"/>
      <c r="B105" s="25"/>
      <c r="C105" s="26" t="s">
        <v>160</v>
      </c>
      <c r="D105" s="25"/>
      <c r="E105" s="25"/>
      <c r="F105" s="35"/>
      <c r="G105" s="35"/>
      <c r="H105" s="24" t="s">
        <v>146</v>
      </c>
    </row>
    <row r="106" spans="1:8" x14ac:dyDescent="0.2">
      <c r="A106" s="25"/>
      <c r="B106" s="25"/>
      <c r="C106" s="26" t="s">
        <v>145</v>
      </c>
      <c r="D106" s="25"/>
      <c r="E106" s="25" t="s">
        <v>146</v>
      </c>
      <c r="F106" s="36" t="s">
        <v>148</v>
      </c>
      <c r="G106" s="33">
        <v>0</v>
      </c>
      <c r="H106" s="24" t="s">
        <v>146</v>
      </c>
    </row>
    <row r="107" spans="1:8" x14ac:dyDescent="0.2">
      <c r="A107" s="25"/>
      <c r="B107" s="25"/>
      <c r="C107" s="34"/>
      <c r="D107" s="25"/>
      <c r="E107" s="25"/>
      <c r="F107" s="35"/>
      <c r="G107" s="35"/>
      <c r="H107" s="24" t="s">
        <v>146</v>
      </c>
    </row>
    <row r="108" spans="1:8" x14ac:dyDescent="0.2">
      <c r="A108" s="25"/>
      <c r="B108" s="25"/>
      <c r="C108" s="26" t="s">
        <v>161</v>
      </c>
      <c r="D108" s="25"/>
      <c r="E108" s="25"/>
      <c r="F108" s="35"/>
      <c r="G108" s="35"/>
      <c r="H108" s="24" t="s">
        <v>146</v>
      </c>
    </row>
    <row r="109" spans="1:8" x14ac:dyDescent="0.2">
      <c r="A109" s="25"/>
      <c r="B109" s="25"/>
      <c r="C109" s="26" t="s">
        <v>145</v>
      </c>
      <c r="D109" s="25"/>
      <c r="E109" s="25" t="s">
        <v>146</v>
      </c>
      <c r="F109" s="36" t="s">
        <v>148</v>
      </c>
      <c r="G109" s="33">
        <v>0</v>
      </c>
      <c r="H109" s="24" t="s">
        <v>146</v>
      </c>
    </row>
    <row r="110" spans="1:8" x14ac:dyDescent="0.2">
      <c r="A110" s="25"/>
      <c r="B110" s="25"/>
      <c r="C110" s="34"/>
      <c r="D110" s="25"/>
      <c r="E110" s="25"/>
      <c r="F110" s="35"/>
      <c r="G110" s="35"/>
      <c r="H110" s="24" t="s">
        <v>146</v>
      </c>
    </row>
    <row r="111" spans="1:8" x14ac:dyDescent="0.2">
      <c r="A111" s="25"/>
      <c r="B111" s="25"/>
      <c r="C111" s="26" t="s">
        <v>162</v>
      </c>
      <c r="D111" s="25"/>
      <c r="E111" s="25"/>
      <c r="F111" s="35"/>
      <c r="G111" s="35"/>
      <c r="H111" s="24" t="s">
        <v>146</v>
      </c>
    </row>
    <row r="112" spans="1:8" x14ac:dyDescent="0.2">
      <c r="A112" s="25"/>
      <c r="B112" s="25"/>
      <c r="C112" s="26" t="s">
        <v>145</v>
      </c>
      <c r="D112" s="25"/>
      <c r="E112" s="25" t="s">
        <v>146</v>
      </c>
      <c r="F112" s="36" t="s">
        <v>148</v>
      </c>
      <c r="G112" s="33">
        <v>0</v>
      </c>
      <c r="H112" s="24" t="s">
        <v>146</v>
      </c>
    </row>
    <row r="113" spans="1:8" x14ac:dyDescent="0.2">
      <c r="A113" s="25"/>
      <c r="B113" s="25"/>
      <c r="C113" s="34"/>
      <c r="D113" s="25"/>
      <c r="E113" s="25"/>
      <c r="F113" s="35"/>
      <c r="G113" s="35"/>
      <c r="H113" s="24" t="s">
        <v>146</v>
      </c>
    </row>
    <row r="114" spans="1:8" x14ac:dyDescent="0.2">
      <c r="A114" s="25"/>
      <c r="B114" s="25"/>
      <c r="C114" s="26" t="s">
        <v>163</v>
      </c>
      <c r="D114" s="25"/>
      <c r="E114" s="25"/>
      <c r="F114" s="35"/>
      <c r="G114" s="35"/>
      <c r="H114" s="24" t="s">
        <v>146</v>
      </c>
    </row>
    <row r="115" spans="1:8" x14ac:dyDescent="0.2">
      <c r="A115" s="27">
        <v>1</v>
      </c>
      <c r="B115" s="28"/>
      <c r="C115" s="28" t="s">
        <v>164</v>
      </c>
      <c r="D115" s="28"/>
      <c r="E115" s="38"/>
      <c r="F115" s="30">
        <v>6775.9278336970001</v>
      </c>
      <c r="G115" s="31">
        <v>3.4237200000000002E-2</v>
      </c>
      <c r="H115" s="24">
        <v>6.57</v>
      </c>
    </row>
    <row r="116" spans="1:8" x14ac:dyDescent="0.2">
      <c r="A116" s="25"/>
      <c r="B116" s="25"/>
      <c r="C116" s="26" t="s">
        <v>145</v>
      </c>
      <c r="D116" s="25"/>
      <c r="E116" s="25" t="s">
        <v>146</v>
      </c>
      <c r="F116" s="32">
        <v>6775.9278336970001</v>
      </c>
      <c r="G116" s="33">
        <v>3.4237200000000002E-2</v>
      </c>
      <c r="H116" s="24" t="s">
        <v>146</v>
      </c>
    </row>
    <row r="117" spans="1:8" x14ac:dyDescent="0.2">
      <c r="A117" s="25"/>
      <c r="B117" s="25"/>
      <c r="C117" s="34"/>
      <c r="D117" s="25"/>
      <c r="E117" s="25"/>
      <c r="F117" s="35"/>
      <c r="G117" s="35"/>
      <c r="H117" s="24" t="s">
        <v>146</v>
      </c>
    </row>
    <row r="118" spans="1:8" x14ac:dyDescent="0.2">
      <c r="A118" s="25"/>
      <c r="B118" s="25"/>
      <c r="C118" s="26" t="s">
        <v>165</v>
      </c>
      <c r="D118" s="25"/>
      <c r="E118" s="25"/>
      <c r="F118" s="32">
        <v>6775.9278336970001</v>
      </c>
      <c r="G118" s="33">
        <v>3.4237200000000002E-2</v>
      </c>
      <c r="H118" s="24" t="s">
        <v>146</v>
      </c>
    </row>
    <row r="119" spans="1:8" x14ac:dyDescent="0.2">
      <c r="A119" s="25"/>
      <c r="B119" s="25"/>
      <c r="C119" s="35"/>
      <c r="D119" s="25"/>
      <c r="E119" s="25"/>
      <c r="F119" s="25"/>
      <c r="G119" s="25"/>
      <c r="H119" s="24" t="s">
        <v>146</v>
      </c>
    </row>
    <row r="120" spans="1:8" x14ac:dyDescent="0.2">
      <c r="A120" s="25"/>
      <c r="B120" s="25"/>
      <c r="C120" s="26" t="s">
        <v>166</v>
      </c>
      <c r="D120" s="25"/>
      <c r="E120" s="25"/>
      <c r="F120" s="25"/>
      <c r="G120" s="25"/>
      <c r="H120" s="24" t="s">
        <v>146</v>
      </c>
    </row>
    <row r="121" spans="1:8" x14ac:dyDescent="0.2">
      <c r="A121" s="25"/>
      <c r="B121" s="25"/>
      <c r="C121" s="26" t="s">
        <v>167</v>
      </c>
      <c r="D121" s="25"/>
      <c r="E121" s="25"/>
      <c r="F121" s="25"/>
      <c r="G121" s="25"/>
      <c r="H121" s="24" t="s">
        <v>146</v>
      </c>
    </row>
    <row r="122" spans="1:8" x14ac:dyDescent="0.2">
      <c r="A122" s="25"/>
      <c r="B122" s="25"/>
      <c r="C122" s="26" t="s">
        <v>145</v>
      </c>
      <c r="D122" s="25"/>
      <c r="E122" s="25" t="s">
        <v>146</v>
      </c>
      <c r="F122" s="36" t="s">
        <v>148</v>
      </c>
      <c r="G122" s="33">
        <v>0</v>
      </c>
      <c r="H122" s="24" t="s">
        <v>146</v>
      </c>
    </row>
    <row r="123" spans="1:8" x14ac:dyDescent="0.2">
      <c r="A123" s="25"/>
      <c r="B123" s="25"/>
      <c r="C123" s="34"/>
      <c r="D123" s="25"/>
      <c r="E123" s="25"/>
      <c r="F123" s="35"/>
      <c r="G123" s="35"/>
      <c r="H123" s="24" t="s">
        <v>146</v>
      </c>
    </row>
    <row r="124" spans="1:8" x14ac:dyDescent="0.2">
      <c r="A124" s="25"/>
      <c r="B124" s="25"/>
      <c r="C124" s="26" t="s">
        <v>168</v>
      </c>
      <c r="D124" s="25"/>
      <c r="E124" s="25"/>
      <c r="F124" s="25"/>
      <c r="G124" s="25"/>
      <c r="H124" s="24" t="s">
        <v>146</v>
      </c>
    </row>
    <row r="125" spans="1:8" x14ac:dyDescent="0.2">
      <c r="A125" s="25"/>
      <c r="B125" s="25"/>
      <c r="C125" s="26" t="s">
        <v>169</v>
      </c>
      <c r="D125" s="25"/>
      <c r="E125" s="25"/>
      <c r="F125" s="25"/>
      <c r="G125" s="25"/>
      <c r="H125" s="24" t="s">
        <v>146</v>
      </c>
    </row>
    <row r="126" spans="1:8" x14ac:dyDescent="0.2">
      <c r="A126" s="25"/>
      <c r="B126" s="25"/>
      <c r="C126" s="26" t="s">
        <v>145</v>
      </c>
      <c r="D126" s="25"/>
      <c r="E126" s="25" t="s">
        <v>146</v>
      </c>
      <c r="F126" s="36" t="s">
        <v>148</v>
      </c>
      <c r="G126" s="33">
        <v>0</v>
      </c>
      <c r="H126" s="24" t="s">
        <v>146</v>
      </c>
    </row>
    <row r="127" spans="1:8" x14ac:dyDescent="0.2">
      <c r="A127" s="25"/>
      <c r="B127" s="25"/>
      <c r="C127" s="34"/>
      <c r="D127" s="25"/>
      <c r="E127" s="25"/>
      <c r="F127" s="35"/>
      <c r="G127" s="35"/>
      <c r="H127" s="24" t="s">
        <v>146</v>
      </c>
    </row>
    <row r="128" spans="1:8" x14ac:dyDescent="0.2">
      <c r="A128" s="25"/>
      <c r="B128" s="25"/>
      <c r="C128" s="26" t="s">
        <v>170</v>
      </c>
      <c r="D128" s="25"/>
      <c r="E128" s="25"/>
      <c r="F128" s="35"/>
      <c r="G128" s="35"/>
      <c r="H128" s="24" t="s">
        <v>146</v>
      </c>
    </row>
    <row r="129" spans="1:17" x14ac:dyDescent="0.2">
      <c r="A129" s="25"/>
      <c r="B129" s="25"/>
      <c r="C129" s="26" t="s">
        <v>145</v>
      </c>
      <c r="D129" s="25"/>
      <c r="E129" s="25" t="s">
        <v>146</v>
      </c>
      <c r="F129" s="36" t="s">
        <v>148</v>
      </c>
      <c r="G129" s="33">
        <v>0</v>
      </c>
      <c r="H129" s="24" t="s">
        <v>146</v>
      </c>
    </row>
    <row r="130" spans="1:17" x14ac:dyDescent="0.2">
      <c r="A130" s="25"/>
      <c r="B130" s="28"/>
      <c r="C130" s="28"/>
      <c r="D130" s="26"/>
      <c r="E130" s="25"/>
      <c r="F130" s="28"/>
      <c r="G130" s="38"/>
      <c r="H130" s="24" t="s">
        <v>146</v>
      </c>
    </row>
    <row r="131" spans="1:17" x14ac:dyDescent="0.2">
      <c r="A131" s="38"/>
      <c r="B131" s="28"/>
      <c r="C131" s="28" t="s">
        <v>171</v>
      </c>
      <c r="D131" s="28"/>
      <c r="E131" s="38"/>
      <c r="F131" s="30">
        <v>-1098.51140545</v>
      </c>
      <c r="G131" s="31">
        <v>-5.5505299999999997E-3</v>
      </c>
      <c r="H131" s="24" t="s">
        <v>146</v>
      </c>
    </row>
    <row r="132" spans="1:17" x14ac:dyDescent="0.2">
      <c r="A132" s="34"/>
      <c r="B132" s="34"/>
      <c r="C132" s="26" t="s">
        <v>172</v>
      </c>
      <c r="D132" s="35"/>
      <c r="E132" s="35"/>
      <c r="F132" s="32">
        <v>197911.24769584701</v>
      </c>
      <c r="G132" s="39">
        <v>1.0000000600000001</v>
      </c>
      <c r="H132" s="24" t="s">
        <v>146</v>
      </c>
    </row>
    <row r="133" spans="1:17" x14ac:dyDescent="0.2">
      <c r="A133" s="40"/>
      <c r="B133" s="40"/>
      <c r="C133" s="40"/>
      <c r="D133" s="41"/>
      <c r="E133" s="41"/>
      <c r="F133" s="41"/>
      <c r="G133" s="41"/>
    </row>
    <row r="134" spans="1:17" x14ac:dyDescent="0.2">
      <c r="A134" s="42"/>
      <c r="B134" s="236" t="s">
        <v>858</v>
      </c>
      <c r="C134" s="236"/>
      <c r="D134" s="236"/>
      <c r="E134" s="236"/>
      <c r="F134" s="236"/>
      <c r="G134" s="236"/>
      <c r="H134" s="236"/>
      <c r="J134" s="44"/>
    </row>
    <row r="135" spans="1:17" x14ac:dyDescent="0.2">
      <c r="A135" s="42"/>
      <c r="B135" s="236" t="s">
        <v>859</v>
      </c>
      <c r="C135" s="236"/>
      <c r="D135" s="236"/>
      <c r="E135" s="236"/>
      <c r="F135" s="236"/>
      <c r="G135" s="236"/>
      <c r="H135" s="236"/>
      <c r="J135" s="44"/>
    </row>
    <row r="136" spans="1:17" x14ac:dyDescent="0.2">
      <c r="A136" s="42"/>
      <c r="B136" s="236" t="s">
        <v>860</v>
      </c>
      <c r="C136" s="236"/>
      <c r="D136" s="236"/>
      <c r="E136" s="236"/>
      <c r="F136" s="236"/>
      <c r="G136" s="236"/>
      <c r="H136" s="236"/>
      <c r="J136" s="44"/>
    </row>
    <row r="137" spans="1:17" s="46" customFormat="1" ht="65.25" customHeight="1" x14ac:dyDescent="0.25">
      <c r="A137" s="45"/>
      <c r="B137" s="237" t="s">
        <v>861</v>
      </c>
      <c r="C137" s="237"/>
      <c r="D137" s="237"/>
      <c r="E137" s="237"/>
      <c r="F137" s="237"/>
      <c r="G137" s="237"/>
      <c r="H137" s="237"/>
      <c r="I137"/>
      <c r="J137" s="44"/>
      <c r="K137"/>
      <c r="L137"/>
      <c r="M137"/>
      <c r="N137"/>
      <c r="O137"/>
      <c r="P137"/>
      <c r="Q137"/>
    </row>
    <row r="138" spans="1:17" x14ac:dyDescent="0.2">
      <c r="A138" s="42"/>
      <c r="B138" s="236" t="s">
        <v>862</v>
      </c>
      <c r="C138" s="236"/>
      <c r="D138" s="236"/>
      <c r="E138" s="236"/>
      <c r="F138" s="236"/>
      <c r="G138" s="236"/>
      <c r="H138" s="236"/>
      <c r="J138" s="44"/>
    </row>
    <row r="139" spans="1:17" x14ac:dyDescent="0.2">
      <c r="A139" s="47"/>
      <c r="B139" s="47"/>
      <c r="C139" s="47"/>
      <c r="D139" s="48"/>
      <c r="E139" s="48"/>
      <c r="F139" s="48"/>
      <c r="G139" s="48"/>
    </row>
    <row r="140" spans="1:17" x14ac:dyDescent="0.2">
      <c r="A140" s="47"/>
      <c r="B140" s="233" t="s">
        <v>173</v>
      </c>
      <c r="C140" s="234"/>
      <c r="D140" s="235"/>
      <c r="E140" s="49"/>
      <c r="F140" s="48"/>
      <c r="G140" s="48"/>
    </row>
    <row r="141" spans="1:17" ht="26.25" customHeight="1" x14ac:dyDescent="0.2">
      <c r="A141" s="47"/>
      <c r="B141" s="231" t="s">
        <v>174</v>
      </c>
      <c r="C141" s="232"/>
      <c r="D141" s="26" t="s">
        <v>175</v>
      </c>
      <c r="E141" s="49"/>
      <c r="F141" s="48"/>
      <c r="G141" s="48"/>
    </row>
    <row r="142" spans="1:17" x14ac:dyDescent="0.2">
      <c r="A142" s="47"/>
      <c r="B142" s="231" t="s">
        <v>863</v>
      </c>
      <c r="C142" s="232"/>
      <c r="D142" s="26" t="s">
        <v>175</v>
      </c>
      <c r="E142" s="49"/>
      <c r="F142" s="48"/>
      <c r="G142" s="48"/>
    </row>
    <row r="143" spans="1:17" x14ac:dyDescent="0.2">
      <c r="A143" s="47"/>
      <c r="B143" s="231" t="s">
        <v>176</v>
      </c>
      <c r="C143" s="232"/>
      <c r="D143" s="35" t="s">
        <v>146</v>
      </c>
      <c r="E143" s="49"/>
      <c r="F143" s="48"/>
      <c r="G143" s="48"/>
    </row>
    <row r="144" spans="1:17" x14ac:dyDescent="0.2">
      <c r="A144" s="53"/>
      <c r="B144" s="54" t="s">
        <v>146</v>
      </c>
      <c r="C144" s="54" t="s">
        <v>864</v>
      </c>
      <c r="D144" s="54" t="s">
        <v>177</v>
      </c>
      <c r="E144" s="53"/>
      <c r="F144" s="53"/>
      <c r="G144" s="53"/>
      <c r="H144" s="53"/>
      <c r="J144" s="44"/>
    </row>
    <row r="145" spans="1:10" x14ac:dyDescent="0.2">
      <c r="A145" s="53"/>
      <c r="B145" s="55" t="s">
        <v>178</v>
      </c>
      <c r="C145" s="56">
        <v>45657</v>
      </c>
      <c r="D145" s="56">
        <v>45688</v>
      </c>
      <c r="E145" s="53"/>
      <c r="F145" s="53"/>
      <c r="G145" s="53"/>
      <c r="J145" s="44"/>
    </row>
    <row r="146" spans="1:10" x14ac:dyDescent="0.2">
      <c r="A146" s="57"/>
      <c r="B146" s="28" t="s">
        <v>179</v>
      </c>
      <c r="C146" s="58">
        <v>14.822800000000001</v>
      </c>
      <c r="D146" s="58">
        <v>14.3026</v>
      </c>
      <c r="E146" s="57"/>
      <c r="F146" s="59"/>
      <c r="G146" s="60"/>
    </row>
    <row r="147" spans="1:10" x14ac:dyDescent="0.2">
      <c r="A147" s="57"/>
      <c r="B147" s="28" t="s">
        <v>1025</v>
      </c>
      <c r="C147" s="58">
        <v>14.059900000000001</v>
      </c>
      <c r="D147" s="58">
        <v>13.5665</v>
      </c>
      <c r="E147" s="57"/>
      <c r="F147" s="59"/>
      <c r="G147" s="60"/>
    </row>
    <row r="148" spans="1:10" x14ac:dyDescent="0.2">
      <c r="A148" s="57"/>
      <c r="B148" s="28" t="s">
        <v>180</v>
      </c>
      <c r="C148" s="58">
        <v>14.275600000000001</v>
      </c>
      <c r="D148" s="58">
        <v>13.7582</v>
      </c>
      <c r="E148" s="57"/>
      <c r="F148" s="59"/>
      <c r="G148" s="60"/>
    </row>
    <row r="149" spans="1:10" x14ac:dyDescent="0.2">
      <c r="A149" s="57"/>
      <c r="B149" s="28" t="s">
        <v>1026</v>
      </c>
      <c r="C149" s="58">
        <v>13.541</v>
      </c>
      <c r="D149" s="58">
        <v>13.0502</v>
      </c>
      <c r="E149" s="57"/>
      <c r="F149" s="59"/>
      <c r="G149" s="60"/>
    </row>
    <row r="150" spans="1:10" x14ac:dyDescent="0.2">
      <c r="A150" s="57"/>
      <c r="B150" s="57"/>
      <c r="C150" s="57"/>
      <c r="D150" s="57"/>
      <c r="E150" s="57"/>
      <c r="F150" s="57"/>
      <c r="G150" s="57"/>
    </row>
    <row r="151" spans="1:10" x14ac:dyDescent="0.2">
      <c r="A151" s="53"/>
      <c r="B151" s="227" t="s">
        <v>865</v>
      </c>
      <c r="C151" s="228"/>
      <c r="D151" s="50" t="s">
        <v>175</v>
      </c>
      <c r="E151" s="53"/>
      <c r="F151" s="53"/>
      <c r="G151" s="53"/>
    </row>
    <row r="152" spans="1:10" x14ac:dyDescent="0.2">
      <c r="A152" s="53"/>
      <c r="B152" s="74"/>
      <c r="C152" s="74"/>
      <c r="D152" s="74"/>
      <c r="E152" s="53"/>
      <c r="F152" s="53"/>
      <c r="G152" s="53"/>
    </row>
    <row r="153" spans="1:10" x14ac:dyDescent="0.2">
      <c r="A153" s="53"/>
      <c r="B153" s="227" t="s">
        <v>181</v>
      </c>
      <c r="C153" s="228"/>
      <c r="D153" s="50" t="s">
        <v>175</v>
      </c>
      <c r="E153" s="64"/>
      <c r="F153" s="53"/>
      <c r="G153" s="53"/>
    </row>
    <row r="154" spans="1:10" x14ac:dyDescent="0.2">
      <c r="A154" s="53"/>
      <c r="B154" s="227" t="s">
        <v>182</v>
      </c>
      <c r="C154" s="228"/>
      <c r="D154" s="50" t="s">
        <v>175</v>
      </c>
      <c r="E154" s="64"/>
      <c r="F154" s="53"/>
      <c r="G154" s="53"/>
    </row>
    <row r="155" spans="1:10" x14ac:dyDescent="0.2">
      <c r="A155" s="53"/>
      <c r="B155" s="227" t="s">
        <v>183</v>
      </c>
      <c r="C155" s="228"/>
      <c r="D155" s="50" t="s">
        <v>175</v>
      </c>
      <c r="E155" s="64"/>
      <c r="F155" s="53"/>
      <c r="G155" s="53"/>
    </row>
    <row r="156" spans="1:10" x14ac:dyDescent="0.2">
      <c r="A156" s="53"/>
      <c r="B156" s="227" t="s">
        <v>184</v>
      </c>
      <c r="C156" s="228"/>
      <c r="D156" s="65">
        <v>0.24902634883461039</v>
      </c>
      <c r="E156" s="53"/>
      <c r="F156" s="43"/>
      <c r="G156" s="63"/>
    </row>
    <row r="158" spans="1:10" x14ac:dyDescent="0.2">
      <c r="B158" s="229" t="s">
        <v>866</v>
      </c>
      <c r="C158" s="229"/>
    </row>
    <row r="160" spans="1:10" ht="153.75" customHeight="1" x14ac:dyDescent="0.2"/>
    <row r="163" spans="2:10" x14ac:dyDescent="0.2">
      <c r="B163" s="66" t="s">
        <v>867</v>
      </c>
      <c r="C163" s="67"/>
      <c r="D163" s="66" t="s">
        <v>870</v>
      </c>
    </row>
    <row r="164" spans="2:10" x14ac:dyDescent="0.2">
      <c r="B164" s="66" t="s">
        <v>1017</v>
      </c>
      <c r="D164" s="66" t="s">
        <v>1018</v>
      </c>
    </row>
    <row r="165" spans="2:10" ht="165" customHeight="1" x14ac:dyDescent="0.2"/>
    <row r="167" spans="2:10" x14ac:dyDescent="0.2">
      <c r="J167" s="21"/>
    </row>
  </sheetData>
  <mergeCells count="18">
    <mergeCell ref="A1:H1"/>
    <mergeCell ref="A2:H2"/>
    <mergeCell ref="A3:H3"/>
    <mergeCell ref="B142:C142"/>
    <mergeCell ref="B143:C143"/>
    <mergeCell ref="B140:D140"/>
    <mergeCell ref="B141:C141"/>
    <mergeCell ref="B134:H134"/>
    <mergeCell ref="B135:H135"/>
    <mergeCell ref="B136:H136"/>
    <mergeCell ref="B137:H137"/>
    <mergeCell ref="B138:H138"/>
    <mergeCell ref="B153:C153"/>
    <mergeCell ref="B154:C154"/>
    <mergeCell ref="B158:C158"/>
    <mergeCell ref="B151:C151"/>
    <mergeCell ref="B155:C155"/>
    <mergeCell ref="B156:C156"/>
  </mergeCells>
  <hyperlinks>
    <hyperlink ref="I1" location="Index!B2" display="Index" xr:uid="{0B2103FD-453C-48EC-A8E5-CE1BD618764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11293-95F8-41F3-B9D7-7162B10AB97E}">
  <sheetPr>
    <outlinePr summaryBelow="0" summaryRight="0"/>
  </sheetPr>
  <dimension ref="A1:P105"/>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41.42578125" customWidth="1"/>
    <col min="4" max="4" width="18.5703125" customWidth="1"/>
    <col min="5" max="5" width="12.42578125" bestFit="1" customWidth="1"/>
    <col min="6" max="6" width="10.140625" bestFit="1" customWidth="1"/>
    <col min="7" max="7" width="14" bestFit="1" customWidth="1"/>
    <col min="8" max="8" width="8.42578125" bestFit="1" customWidth="1"/>
    <col min="9" max="9" width="5.7109375" bestFit="1" customWidth="1"/>
    <col min="257" max="257" width="6.85546875" customWidth="1"/>
    <col min="258" max="258" width="20.5703125" customWidth="1"/>
    <col min="259" max="259" width="34.28515625" customWidth="1"/>
    <col min="260" max="260" width="17.85546875" customWidth="1"/>
    <col min="261" max="262" width="19.140625" customWidth="1"/>
    <col min="263" max="263" width="16.42578125" customWidth="1"/>
    <col min="513" max="513" width="6.85546875" customWidth="1"/>
    <col min="514" max="514" width="20.5703125" customWidth="1"/>
    <col min="515" max="515" width="34.28515625" customWidth="1"/>
    <col min="516" max="516" width="17.85546875" customWidth="1"/>
    <col min="517" max="518" width="19.140625" customWidth="1"/>
    <col min="519" max="519" width="16.42578125" customWidth="1"/>
    <col min="769" max="769" width="6.85546875" customWidth="1"/>
    <col min="770" max="770" width="20.5703125" customWidth="1"/>
    <col min="771" max="771" width="34.28515625" customWidth="1"/>
    <col min="772" max="772" width="17.85546875" customWidth="1"/>
    <col min="773" max="774" width="19.140625" customWidth="1"/>
    <col min="775" max="775" width="16.42578125" customWidth="1"/>
    <col min="1025" max="1025" width="6.85546875" customWidth="1"/>
    <col min="1026" max="1026" width="20.5703125" customWidth="1"/>
    <col min="1027" max="1027" width="34.28515625" customWidth="1"/>
    <col min="1028" max="1028" width="17.85546875" customWidth="1"/>
    <col min="1029" max="1030" width="19.140625" customWidth="1"/>
    <col min="1031" max="1031" width="16.42578125" customWidth="1"/>
    <col min="1281" max="1281" width="6.85546875" customWidth="1"/>
    <col min="1282" max="1282" width="20.5703125" customWidth="1"/>
    <col min="1283" max="1283" width="34.28515625" customWidth="1"/>
    <col min="1284" max="1284" width="17.85546875" customWidth="1"/>
    <col min="1285" max="1286" width="19.140625" customWidth="1"/>
    <col min="1287" max="1287" width="16.42578125" customWidth="1"/>
    <col min="1537" max="1537" width="6.85546875" customWidth="1"/>
    <col min="1538" max="1538" width="20.5703125" customWidth="1"/>
    <col min="1539" max="1539" width="34.28515625" customWidth="1"/>
    <col min="1540" max="1540" width="17.85546875" customWidth="1"/>
    <col min="1541" max="1542" width="19.140625" customWidth="1"/>
    <col min="1543" max="1543" width="16.42578125" customWidth="1"/>
    <col min="1793" max="1793" width="6.85546875" customWidth="1"/>
    <col min="1794" max="1794" width="20.5703125" customWidth="1"/>
    <col min="1795" max="1795" width="34.28515625" customWidth="1"/>
    <col min="1796" max="1796" width="17.85546875" customWidth="1"/>
    <col min="1797" max="1798" width="19.140625" customWidth="1"/>
    <col min="1799" max="1799" width="16.42578125" customWidth="1"/>
    <col min="2049" max="2049" width="6.85546875" customWidth="1"/>
    <col min="2050" max="2050" width="20.5703125" customWidth="1"/>
    <col min="2051" max="2051" width="34.28515625" customWidth="1"/>
    <col min="2052" max="2052" width="17.85546875" customWidth="1"/>
    <col min="2053" max="2054" width="19.140625" customWidth="1"/>
    <col min="2055" max="2055" width="16.42578125" customWidth="1"/>
    <col min="2305" max="2305" width="6.85546875" customWidth="1"/>
    <col min="2306" max="2306" width="20.5703125" customWidth="1"/>
    <col min="2307" max="2307" width="34.28515625" customWidth="1"/>
    <col min="2308" max="2308" width="17.85546875" customWidth="1"/>
    <col min="2309" max="2310" width="19.140625" customWidth="1"/>
    <col min="2311" max="2311" width="16.42578125" customWidth="1"/>
    <col min="2561" max="2561" width="6.85546875" customWidth="1"/>
    <col min="2562" max="2562" width="20.5703125" customWidth="1"/>
    <col min="2563" max="2563" width="34.28515625" customWidth="1"/>
    <col min="2564" max="2564" width="17.85546875" customWidth="1"/>
    <col min="2565" max="2566" width="19.140625" customWidth="1"/>
    <col min="2567" max="2567" width="16.42578125" customWidth="1"/>
    <col min="2817" max="2817" width="6.85546875" customWidth="1"/>
    <col min="2818" max="2818" width="20.5703125" customWidth="1"/>
    <col min="2819" max="2819" width="34.28515625" customWidth="1"/>
    <col min="2820" max="2820" width="17.85546875" customWidth="1"/>
    <col min="2821" max="2822" width="19.140625" customWidth="1"/>
    <col min="2823" max="2823" width="16.42578125" customWidth="1"/>
    <col min="3073" max="3073" width="6.85546875" customWidth="1"/>
    <col min="3074" max="3074" width="20.5703125" customWidth="1"/>
    <col min="3075" max="3075" width="34.28515625" customWidth="1"/>
    <col min="3076" max="3076" width="17.85546875" customWidth="1"/>
    <col min="3077" max="3078" width="19.140625" customWidth="1"/>
    <col min="3079" max="3079" width="16.42578125" customWidth="1"/>
    <col min="3329" max="3329" width="6.85546875" customWidth="1"/>
    <col min="3330" max="3330" width="20.5703125" customWidth="1"/>
    <col min="3331" max="3331" width="34.28515625" customWidth="1"/>
    <col min="3332" max="3332" width="17.85546875" customWidth="1"/>
    <col min="3333" max="3334" width="19.140625" customWidth="1"/>
    <col min="3335" max="3335" width="16.42578125" customWidth="1"/>
    <col min="3585" max="3585" width="6.85546875" customWidth="1"/>
    <col min="3586" max="3586" width="20.5703125" customWidth="1"/>
    <col min="3587" max="3587" width="34.28515625" customWidth="1"/>
    <col min="3588" max="3588" width="17.85546875" customWidth="1"/>
    <col min="3589" max="3590" width="19.140625" customWidth="1"/>
    <col min="3591" max="3591" width="16.42578125" customWidth="1"/>
    <col min="3841" max="3841" width="6.85546875" customWidth="1"/>
    <col min="3842" max="3842" width="20.5703125" customWidth="1"/>
    <col min="3843" max="3843" width="34.28515625" customWidth="1"/>
    <col min="3844" max="3844" width="17.85546875" customWidth="1"/>
    <col min="3845" max="3846" width="19.140625" customWidth="1"/>
    <col min="3847" max="3847" width="16.42578125" customWidth="1"/>
    <col min="4097" max="4097" width="6.85546875" customWidth="1"/>
    <col min="4098" max="4098" width="20.5703125" customWidth="1"/>
    <col min="4099" max="4099" width="34.28515625" customWidth="1"/>
    <col min="4100" max="4100" width="17.85546875" customWidth="1"/>
    <col min="4101" max="4102" width="19.140625" customWidth="1"/>
    <col min="4103" max="4103" width="16.42578125" customWidth="1"/>
    <col min="4353" max="4353" width="6.85546875" customWidth="1"/>
    <col min="4354" max="4354" width="20.5703125" customWidth="1"/>
    <col min="4355" max="4355" width="34.28515625" customWidth="1"/>
    <col min="4356" max="4356" width="17.85546875" customWidth="1"/>
    <col min="4357" max="4358" width="19.140625" customWidth="1"/>
    <col min="4359" max="4359" width="16.42578125" customWidth="1"/>
    <col min="4609" max="4609" width="6.85546875" customWidth="1"/>
    <col min="4610" max="4610" width="20.5703125" customWidth="1"/>
    <col min="4611" max="4611" width="34.28515625" customWidth="1"/>
    <col min="4612" max="4612" width="17.85546875" customWidth="1"/>
    <col min="4613" max="4614" width="19.140625" customWidth="1"/>
    <col min="4615" max="4615" width="16.42578125" customWidth="1"/>
    <col min="4865" max="4865" width="6.85546875" customWidth="1"/>
    <col min="4866" max="4866" width="20.5703125" customWidth="1"/>
    <col min="4867" max="4867" width="34.28515625" customWidth="1"/>
    <col min="4868" max="4868" width="17.85546875" customWidth="1"/>
    <col min="4869" max="4870" width="19.140625" customWidth="1"/>
    <col min="4871" max="4871" width="16.42578125" customWidth="1"/>
    <col min="5121" max="5121" width="6.85546875" customWidth="1"/>
    <col min="5122" max="5122" width="20.5703125" customWidth="1"/>
    <col min="5123" max="5123" width="34.28515625" customWidth="1"/>
    <col min="5124" max="5124" width="17.85546875" customWidth="1"/>
    <col min="5125" max="5126" width="19.140625" customWidth="1"/>
    <col min="5127" max="5127" width="16.42578125" customWidth="1"/>
    <col min="5377" max="5377" width="6.85546875" customWidth="1"/>
    <col min="5378" max="5378" width="20.5703125" customWidth="1"/>
    <col min="5379" max="5379" width="34.28515625" customWidth="1"/>
    <col min="5380" max="5380" width="17.85546875" customWidth="1"/>
    <col min="5381" max="5382" width="19.140625" customWidth="1"/>
    <col min="5383" max="5383" width="16.42578125" customWidth="1"/>
    <col min="5633" max="5633" width="6.85546875" customWidth="1"/>
    <col min="5634" max="5634" width="20.5703125" customWidth="1"/>
    <col min="5635" max="5635" width="34.28515625" customWidth="1"/>
    <col min="5636" max="5636" width="17.85546875" customWidth="1"/>
    <col min="5637" max="5638" width="19.140625" customWidth="1"/>
    <col min="5639" max="5639" width="16.42578125" customWidth="1"/>
    <col min="5889" max="5889" width="6.85546875" customWidth="1"/>
    <col min="5890" max="5890" width="20.5703125" customWidth="1"/>
    <col min="5891" max="5891" width="34.28515625" customWidth="1"/>
    <col min="5892" max="5892" width="17.85546875" customWidth="1"/>
    <col min="5893" max="5894" width="19.140625" customWidth="1"/>
    <col min="5895" max="5895" width="16.42578125" customWidth="1"/>
    <col min="6145" max="6145" width="6.85546875" customWidth="1"/>
    <col min="6146" max="6146" width="20.5703125" customWidth="1"/>
    <col min="6147" max="6147" width="34.28515625" customWidth="1"/>
    <col min="6148" max="6148" width="17.85546875" customWidth="1"/>
    <col min="6149" max="6150" width="19.140625" customWidth="1"/>
    <col min="6151" max="6151" width="16.42578125" customWidth="1"/>
    <col min="6401" max="6401" width="6.85546875" customWidth="1"/>
    <col min="6402" max="6402" width="20.5703125" customWidth="1"/>
    <col min="6403" max="6403" width="34.28515625" customWidth="1"/>
    <col min="6404" max="6404" width="17.85546875" customWidth="1"/>
    <col min="6405" max="6406" width="19.140625" customWidth="1"/>
    <col min="6407" max="6407" width="16.42578125" customWidth="1"/>
    <col min="6657" max="6657" width="6.85546875" customWidth="1"/>
    <col min="6658" max="6658" width="20.5703125" customWidth="1"/>
    <col min="6659" max="6659" width="34.28515625" customWidth="1"/>
    <col min="6660" max="6660" width="17.85546875" customWidth="1"/>
    <col min="6661" max="6662" width="19.140625" customWidth="1"/>
    <col min="6663" max="6663" width="16.42578125" customWidth="1"/>
    <col min="6913" max="6913" width="6.85546875" customWidth="1"/>
    <col min="6914" max="6914" width="20.5703125" customWidth="1"/>
    <col min="6915" max="6915" width="34.28515625" customWidth="1"/>
    <col min="6916" max="6916" width="17.85546875" customWidth="1"/>
    <col min="6917" max="6918" width="19.140625" customWidth="1"/>
    <col min="6919" max="6919" width="16.42578125" customWidth="1"/>
    <col min="7169" max="7169" width="6.85546875" customWidth="1"/>
    <col min="7170" max="7170" width="20.5703125" customWidth="1"/>
    <col min="7171" max="7171" width="34.28515625" customWidth="1"/>
    <col min="7172" max="7172" width="17.85546875" customWidth="1"/>
    <col min="7173" max="7174" width="19.140625" customWidth="1"/>
    <col min="7175" max="7175" width="16.42578125" customWidth="1"/>
    <col min="7425" max="7425" width="6.85546875" customWidth="1"/>
    <col min="7426" max="7426" width="20.5703125" customWidth="1"/>
    <col min="7427" max="7427" width="34.28515625" customWidth="1"/>
    <col min="7428" max="7428" width="17.85546875" customWidth="1"/>
    <col min="7429" max="7430" width="19.140625" customWidth="1"/>
    <col min="7431" max="7431" width="16.42578125" customWidth="1"/>
    <col min="7681" max="7681" width="6.85546875" customWidth="1"/>
    <col min="7682" max="7682" width="20.5703125" customWidth="1"/>
    <col min="7683" max="7683" width="34.28515625" customWidth="1"/>
    <col min="7684" max="7684" width="17.85546875" customWidth="1"/>
    <col min="7685" max="7686" width="19.140625" customWidth="1"/>
    <col min="7687" max="7687" width="16.42578125" customWidth="1"/>
    <col min="7937" max="7937" width="6.85546875" customWidth="1"/>
    <col min="7938" max="7938" width="20.5703125" customWidth="1"/>
    <col min="7939" max="7939" width="34.28515625" customWidth="1"/>
    <col min="7940" max="7940" width="17.85546875" customWidth="1"/>
    <col min="7941" max="7942" width="19.140625" customWidth="1"/>
    <col min="7943" max="7943" width="16.42578125" customWidth="1"/>
    <col min="8193" max="8193" width="6.85546875" customWidth="1"/>
    <col min="8194" max="8194" width="20.5703125" customWidth="1"/>
    <col min="8195" max="8195" width="34.28515625" customWidth="1"/>
    <col min="8196" max="8196" width="17.85546875" customWidth="1"/>
    <col min="8197" max="8198" width="19.140625" customWidth="1"/>
    <col min="8199" max="8199" width="16.42578125" customWidth="1"/>
    <col min="8449" max="8449" width="6.85546875" customWidth="1"/>
    <col min="8450" max="8450" width="20.5703125" customWidth="1"/>
    <col min="8451" max="8451" width="34.28515625" customWidth="1"/>
    <col min="8452" max="8452" width="17.85546875" customWidth="1"/>
    <col min="8453" max="8454" width="19.140625" customWidth="1"/>
    <col min="8455" max="8455" width="16.42578125" customWidth="1"/>
    <col min="8705" max="8705" width="6.85546875" customWidth="1"/>
    <col min="8706" max="8706" width="20.5703125" customWidth="1"/>
    <col min="8707" max="8707" width="34.28515625" customWidth="1"/>
    <col min="8708" max="8708" width="17.85546875" customWidth="1"/>
    <col min="8709" max="8710" width="19.140625" customWidth="1"/>
    <col min="8711" max="8711" width="16.42578125" customWidth="1"/>
    <col min="8961" max="8961" width="6.85546875" customWidth="1"/>
    <col min="8962" max="8962" width="20.5703125" customWidth="1"/>
    <col min="8963" max="8963" width="34.28515625" customWidth="1"/>
    <col min="8964" max="8964" width="17.85546875" customWidth="1"/>
    <col min="8965" max="8966" width="19.140625" customWidth="1"/>
    <col min="8967" max="8967" width="16.42578125" customWidth="1"/>
    <col min="9217" max="9217" width="6.85546875" customWidth="1"/>
    <col min="9218" max="9218" width="20.5703125" customWidth="1"/>
    <col min="9219" max="9219" width="34.28515625" customWidth="1"/>
    <col min="9220" max="9220" width="17.85546875" customWidth="1"/>
    <col min="9221" max="9222" width="19.140625" customWidth="1"/>
    <col min="9223" max="9223" width="16.42578125" customWidth="1"/>
    <col min="9473" max="9473" width="6.85546875" customWidth="1"/>
    <col min="9474" max="9474" width="20.5703125" customWidth="1"/>
    <col min="9475" max="9475" width="34.28515625" customWidth="1"/>
    <col min="9476" max="9476" width="17.85546875" customWidth="1"/>
    <col min="9477" max="9478" width="19.140625" customWidth="1"/>
    <col min="9479" max="9479" width="16.42578125" customWidth="1"/>
    <col min="9729" max="9729" width="6.85546875" customWidth="1"/>
    <col min="9730" max="9730" width="20.5703125" customWidth="1"/>
    <col min="9731" max="9731" width="34.28515625" customWidth="1"/>
    <col min="9732" max="9732" width="17.85546875" customWidth="1"/>
    <col min="9733" max="9734" width="19.140625" customWidth="1"/>
    <col min="9735" max="9735" width="16.42578125" customWidth="1"/>
    <col min="9985" max="9985" width="6.85546875" customWidth="1"/>
    <col min="9986" max="9986" width="20.5703125" customWidth="1"/>
    <col min="9987" max="9987" width="34.28515625" customWidth="1"/>
    <col min="9988" max="9988" width="17.85546875" customWidth="1"/>
    <col min="9989" max="9990" width="19.140625" customWidth="1"/>
    <col min="9991" max="9991" width="16.42578125" customWidth="1"/>
    <col min="10241" max="10241" width="6.85546875" customWidth="1"/>
    <col min="10242" max="10242" width="20.5703125" customWidth="1"/>
    <col min="10243" max="10243" width="34.28515625" customWidth="1"/>
    <col min="10244" max="10244" width="17.85546875" customWidth="1"/>
    <col min="10245" max="10246" width="19.140625" customWidth="1"/>
    <col min="10247" max="10247" width="16.42578125" customWidth="1"/>
    <col min="10497" max="10497" width="6.85546875" customWidth="1"/>
    <col min="10498" max="10498" width="20.5703125" customWidth="1"/>
    <col min="10499" max="10499" width="34.28515625" customWidth="1"/>
    <col min="10500" max="10500" width="17.85546875" customWidth="1"/>
    <col min="10501" max="10502" width="19.140625" customWidth="1"/>
    <col min="10503" max="10503" width="16.42578125" customWidth="1"/>
    <col min="10753" max="10753" width="6.85546875" customWidth="1"/>
    <col min="10754" max="10754" width="20.5703125" customWidth="1"/>
    <col min="10755" max="10755" width="34.28515625" customWidth="1"/>
    <col min="10756" max="10756" width="17.85546875" customWidth="1"/>
    <col min="10757" max="10758" width="19.140625" customWidth="1"/>
    <col min="10759" max="10759" width="16.42578125" customWidth="1"/>
    <col min="11009" max="11009" width="6.85546875" customWidth="1"/>
    <col min="11010" max="11010" width="20.5703125" customWidth="1"/>
    <col min="11011" max="11011" width="34.28515625" customWidth="1"/>
    <col min="11012" max="11012" width="17.85546875" customWidth="1"/>
    <col min="11013" max="11014" width="19.140625" customWidth="1"/>
    <col min="11015" max="11015" width="16.42578125" customWidth="1"/>
    <col min="11265" max="11265" width="6.85546875" customWidth="1"/>
    <col min="11266" max="11266" width="20.5703125" customWidth="1"/>
    <col min="11267" max="11267" width="34.28515625" customWidth="1"/>
    <col min="11268" max="11268" width="17.85546875" customWidth="1"/>
    <col min="11269" max="11270" width="19.140625" customWidth="1"/>
    <col min="11271" max="11271" width="16.42578125" customWidth="1"/>
    <col min="11521" max="11521" width="6.85546875" customWidth="1"/>
    <col min="11522" max="11522" width="20.5703125" customWidth="1"/>
    <col min="11523" max="11523" width="34.28515625" customWidth="1"/>
    <col min="11524" max="11524" width="17.85546875" customWidth="1"/>
    <col min="11525" max="11526" width="19.140625" customWidth="1"/>
    <col min="11527" max="11527" width="16.42578125" customWidth="1"/>
    <col min="11777" max="11777" width="6.85546875" customWidth="1"/>
    <col min="11778" max="11778" width="20.5703125" customWidth="1"/>
    <col min="11779" max="11779" width="34.28515625" customWidth="1"/>
    <col min="11780" max="11780" width="17.85546875" customWidth="1"/>
    <col min="11781" max="11782" width="19.140625" customWidth="1"/>
    <col min="11783" max="11783" width="16.42578125" customWidth="1"/>
    <col min="12033" max="12033" width="6.85546875" customWidth="1"/>
    <col min="12034" max="12034" width="20.5703125" customWidth="1"/>
    <col min="12035" max="12035" width="34.28515625" customWidth="1"/>
    <col min="12036" max="12036" width="17.85546875" customWidth="1"/>
    <col min="12037" max="12038" width="19.140625" customWidth="1"/>
    <col min="12039" max="12039" width="16.42578125" customWidth="1"/>
    <col min="12289" max="12289" width="6.85546875" customWidth="1"/>
    <col min="12290" max="12290" width="20.5703125" customWidth="1"/>
    <col min="12291" max="12291" width="34.28515625" customWidth="1"/>
    <col min="12292" max="12292" width="17.85546875" customWidth="1"/>
    <col min="12293" max="12294" width="19.140625" customWidth="1"/>
    <col min="12295" max="12295" width="16.42578125" customWidth="1"/>
    <col min="12545" max="12545" width="6.85546875" customWidth="1"/>
    <col min="12546" max="12546" width="20.5703125" customWidth="1"/>
    <col min="12547" max="12547" width="34.28515625" customWidth="1"/>
    <col min="12548" max="12548" width="17.85546875" customWidth="1"/>
    <col min="12549" max="12550" width="19.140625" customWidth="1"/>
    <col min="12551" max="12551" width="16.42578125" customWidth="1"/>
    <col min="12801" max="12801" width="6.85546875" customWidth="1"/>
    <col min="12802" max="12802" width="20.5703125" customWidth="1"/>
    <col min="12803" max="12803" width="34.28515625" customWidth="1"/>
    <col min="12804" max="12804" width="17.85546875" customWidth="1"/>
    <col min="12805" max="12806" width="19.140625" customWidth="1"/>
    <col min="12807" max="12807" width="16.42578125" customWidth="1"/>
    <col min="13057" max="13057" width="6.85546875" customWidth="1"/>
    <col min="13058" max="13058" width="20.5703125" customWidth="1"/>
    <col min="13059" max="13059" width="34.28515625" customWidth="1"/>
    <col min="13060" max="13060" width="17.85546875" customWidth="1"/>
    <col min="13061" max="13062" width="19.140625" customWidth="1"/>
    <col min="13063" max="13063" width="16.42578125" customWidth="1"/>
    <col min="13313" max="13313" width="6.85546875" customWidth="1"/>
    <col min="13314" max="13314" width="20.5703125" customWidth="1"/>
    <col min="13315" max="13315" width="34.28515625" customWidth="1"/>
    <col min="13316" max="13316" width="17.85546875" customWidth="1"/>
    <col min="13317" max="13318" width="19.140625" customWidth="1"/>
    <col min="13319" max="13319" width="16.42578125" customWidth="1"/>
    <col min="13569" max="13569" width="6.85546875" customWidth="1"/>
    <col min="13570" max="13570" width="20.5703125" customWidth="1"/>
    <col min="13571" max="13571" width="34.28515625" customWidth="1"/>
    <col min="13572" max="13572" width="17.85546875" customWidth="1"/>
    <col min="13573" max="13574" width="19.140625" customWidth="1"/>
    <col min="13575" max="13575" width="16.42578125" customWidth="1"/>
    <col min="13825" max="13825" width="6.85546875" customWidth="1"/>
    <col min="13826" max="13826" width="20.5703125" customWidth="1"/>
    <col min="13827" max="13827" width="34.28515625" customWidth="1"/>
    <col min="13828" max="13828" width="17.85546875" customWidth="1"/>
    <col min="13829" max="13830" width="19.140625" customWidth="1"/>
    <col min="13831" max="13831" width="16.42578125" customWidth="1"/>
    <col min="14081" max="14081" width="6.85546875" customWidth="1"/>
    <col min="14082" max="14082" width="20.5703125" customWidth="1"/>
    <col min="14083" max="14083" width="34.28515625" customWidth="1"/>
    <col min="14084" max="14084" width="17.85546875" customWidth="1"/>
    <col min="14085" max="14086" width="19.140625" customWidth="1"/>
    <col min="14087" max="14087" width="16.42578125" customWidth="1"/>
    <col min="14337" max="14337" width="6.85546875" customWidth="1"/>
    <col min="14338" max="14338" width="20.5703125" customWidth="1"/>
    <col min="14339" max="14339" width="34.28515625" customWidth="1"/>
    <col min="14340" max="14340" width="17.85546875" customWidth="1"/>
    <col min="14341" max="14342" width="19.140625" customWidth="1"/>
    <col min="14343" max="14343" width="16.42578125" customWidth="1"/>
    <col min="14593" max="14593" width="6.85546875" customWidth="1"/>
    <col min="14594" max="14594" width="20.5703125" customWidth="1"/>
    <col min="14595" max="14595" width="34.28515625" customWidth="1"/>
    <col min="14596" max="14596" width="17.85546875" customWidth="1"/>
    <col min="14597" max="14598" width="19.140625" customWidth="1"/>
    <col min="14599" max="14599" width="16.42578125" customWidth="1"/>
    <col min="14849" max="14849" width="6.85546875" customWidth="1"/>
    <col min="14850" max="14850" width="20.5703125" customWidth="1"/>
    <col min="14851" max="14851" width="34.28515625" customWidth="1"/>
    <col min="14852" max="14852" width="17.85546875" customWidth="1"/>
    <col min="14853" max="14854" width="19.140625" customWidth="1"/>
    <col min="14855" max="14855" width="16.42578125" customWidth="1"/>
    <col min="15105" max="15105" width="6.85546875" customWidth="1"/>
    <col min="15106" max="15106" width="20.5703125" customWidth="1"/>
    <col min="15107" max="15107" width="34.28515625" customWidth="1"/>
    <col min="15108" max="15108" width="17.85546875" customWidth="1"/>
    <col min="15109" max="15110" width="19.140625" customWidth="1"/>
    <col min="15111" max="15111" width="16.42578125" customWidth="1"/>
    <col min="15361" max="15361" width="6.85546875" customWidth="1"/>
    <col min="15362" max="15362" width="20.5703125" customWidth="1"/>
    <col min="15363" max="15363" width="34.28515625" customWidth="1"/>
    <col min="15364" max="15364" width="17.85546875" customWidth="1"/>
    <col min="15365" max="15366" width="19.140625" customWidth="1"/>
    <col min="15367" max="15367" width="16.42578125" customWidth="1"/>
    <col min="15617" max="15617" width="6.85546875" customWidth="1"/>
    <col min="15618" max="15618" width="20.5703125" customWidth="1"/>
    <col min="15619" max="15619" width="34.28515625" customWidth="1"/>
    <col min="15620" max="15620" width="17.85546875" customWidth="1"/>
    <col min="15621" max="15622" width="19.140625" customWidth="1"/>
    <col min="15623" max="15623" width="16.42578125" customWidth="1"/>
    <col min="15873" max="15873" width="6.85546875" customWidth="1"/>
    <col min="15874" max="15874" width="20.5703125" customWidth="1"/>
    <col min="15875" max="15875" width="34.28515625" customWidth="1"/>
    <col min="15876" max="15876" width="17.85546875" customWidth="1"/>
    <col min="15877" max="15878" width="19.140625" customWidth="1"/>
    <col min="15879" max="15879" width="16.42578125" customWidth="1"/>
    <col min="16129" max="16129" width="6.85546875" customWidth="1"/>
    <col min="16130" max="16130" width="20.5703125" customWidth="1"/>
    <col min="16131" max="16131" width="34.28515625" customWidth="1"/>
    <col min="16132" max="16132" width="17.85546875" customWidth="1"/>
    <col min="16133" max="16134" width="19.140625" customWidth="1"/>
    <col min="16135" max="16135" width="16.42578125" customWidth="1"/>
  </cols>
  <sheetData>
    <row r="1" spans="1:9" ht="15" x14ac:dyDescent="0.2">
      <c r="A1" s="238" t="s">
        <v>0</v>
      </c>
      <c r="B1" s="238"/>
      <c r="C1" s="238"/>
      <c r="D1" s="238"/>
      <c r="E1" s="238"/>
      <c r="F1" s="238"/>
      <c r="G1" s="238"/>
      <c r="H1" s="238"/>
      <c r="I1" s="18" t="s">
        <v>1024</v>
      </c>
    </row>
    <row r="2" spans="1:9" ht="15" x14ac:dyDescent="0.2">
      <c r="A2" s="238" t="s">
        <v>1037</v>
      </c>
      <c r="B2" s="238"/>
      <c r="C2" s="238"/>
      <c r="D2" s="238"/>
      <c r="E2" s="238"/>
      <c r="F2" s="238"/>
      <c r="G2" s="238"/>
      <c r="H2" s="238"/>
    </row>
    <row r="3" spans="1:9" ht="15" x14ac:dyDescent="0.2">
      <c r="A3" s="238" t="s">
        <v>856</v>
      </c>
      <c r="B3" s="238"/>
      <c r="C3" s="238"/>
      <c r="D3" s="238"/>
      <c r="E3" s="238"/>
      <c r="F3" s="238"/>
      <c r="G3" s="238"/>
      <c r="H3" s="238"/>
    </row>
    <row r="4" spans="1:9" s="21" customFormat="1" ht="30" x14ac:dyDescent="0.2">
      <c r="A4" s="68" t="s">
        <v>2</v>
      </c>
      <c r="B4" s="68" t="s">
        <v>3</v>
      </c>
      <c r="C4" s="68" t="s">
        <v>4</v>
      </c>
      <c r="D4" s="68" t="s">
        <v>5</v>
      </c>
      <c r="E4" s="68" t="s">
        <v>6</v>
      </c>
      <c r="F4" s="68" t="s">
        <v>7</v>
      </c>
      <c r="G4" s="68" t="s">
        <v>8</v>
      </c>
      <c r="H4" s="69" t="s">
        <v>855</v>
      </c>
    </row>
    <row r="5" spans="1:9" x14ac:dyDescent="0.2">
      <c r="A5" s="25"/>
      <c r="B5" s="25"/>
      <c r="C5" s="26" t="s">
        <v>9</v>
      </c>
      <c r="D5" s="25"/>
      <c r="E5" s="25"/>
      <c r="F5" s="25"/>
      <c r="G5" s="25"/>
      <c r="H5" s="24" t="s">
        <v>146</v>
      </c>
    </row>
    <row r="6" spans="1:9" x14ac:dyDescent="0.2">
      <c r="A6" s="25"/>
      <c r="B6" s="25"/>
      <c r="C6" s="26" t="s">
        <v>10</v>
      </c>
      <c r="D6" s="25"/>
      <c r="E6" s="25"/>
      <c r="F6" s="25"/>
      <c r="G6" s="25"/>
      <c r="H6" s="24" t="s">
        <v>146</v>
      </c>
    </row>
    <row r="7" spans="1:9" x14ac:dyDescent="0.2">
      <c r="A7" s="25"/>
      <c r="B7" s="25"/>
      <c r="C7" s="26" t="s">
        <v>145</v>
      </c>
      <c r="D7" s="25"/>
      <c r="E7" s="25" t="s">
        <v>146</v>
      </c>
      <c r="F7" s="36" t="s">
        <v>148</v>
      </c>
      <c r="G7" s="33">
        <v>0</v>
      </c>
      <c r="H7" s="24" t="s">
        <v>146</v>
      </c>
    </row>
    <row r="8" spans="1:9" x14ac:dyDescent="0.2">
      <c r="A8" s="25"/>
      <c r="B8" s="25"/>
      <c r="C8" s="34"/>
      <c r="D8" s="25"/>
      <c r="E8" s="25"/>
      <c r="F8" s="35"/>
      <c r="G8" s="35"/>
      <c r="H8" s="24" t="s">
        <v>146</v>
      </c>
    </row>
    <row r="9" spans="1:9" x14ac:dyDescent="0.2">
      <c r="A9" s="25"/>
      <c r="B9" s="25"/>
      <c r="C9" s="26" t="s">
        <v>147</v>
      </c>
      <c r="D9" s="25"/>
      <c r="E9" s="25"/>
      <c r="F9" s="25"/>
      <c r="G9" s="25"/>
      <c r="H9" s="24" t="s">
        <v>146</v>
      </c>
    </row>
    <row r="10" spans="1:9" x14ac:dyDescent="0.2">
      <c r="A10" s="25"/>
      <c r="B10" s="25"/>
      <c r="C10" s="26" t="s">
        <v>145</v>
      </c>
      <c r="D10" s="25"/>
      <c r="E10" s="25" t="s">
        <v>146</v>
      </c>
      <c r="F10" s="36" t="s">
        <v>148</v>
      </c>
      <c r="G10" s="33">
        <v>0</v>
      </c>
      <c r="H10" s="24" t="s">
        <v>146</v>
      </c>
    </row>
    <row r="11" spans="1:9" x14ac:dyDescent="0.2">
      <c r="A11" s="25"/>
      <c r="B11" s="25"/>
      <c r="C11" s="34"/>
      <c r="D11" s="25"/>
      <c r="E11" s="25"/>
      <c r="F11" s="35"/>
      <c r="G11" s="35"/>
      <c r="H11" s="24" t="s">
        <v>146</v>
      </c>
    </row>
    <row r="12" spans="1:9" x14ac:dyDescent="0.2">
      <c r="A12" s="25"/>
      <c r="B12" s="25"/>
      <c r="C12" s="26" t="s">
        <v>149</v>
      </c>
      <c r="D12" s="25"/>
      <c r="E12" s="25"/>
      <c r="F12" s="25"/>
      <c r="G12" s="25"/>
      <c r="H12" s="24" t="s">
        <v>146</v>
      </c>
    </row>
    <row r="13" spans="1:9" x14ac:dyDescent="0.2">
      <c r="A13" s="25"/>
      <c r="B13" s="25"/>
      <c r="C13" s="26" t="s">
        <v>145</v>
      </c>
      <c r="D13" s="25"/>
      <c r="E13" s="25" t="s">
        <v>146</v>
      </c>
      <c r="F13" s="36" t="s">
        <v>148</v>
      </c>
      <c r="G13" s="33">
        <v>0</v>
      </c>
      <c r="H13" s="24" t="s">
        <v>146</v>
      </c>
    </row>
    <row r="14" spans="1:9" x14ac:dyDescent="0.2">
      <c r="A14" s="25"/>
      <c r="B14" s="25"/>
      <c r="C14" s="34"/>
      <c r="D14" s="25"/>
      <c r="E14" s="25"/>
      <c r="F14" s="35"/>
      <c r="G14" s="35"/>
      <c r="H14" s="24" t="s">
        <v>146</v>
      </c>
    </row>
    <row r="15" spans="1:9" x14ac:dyDescent="0.2">
      <c r="A15" s="25"/>
      <c r="B15" s="25"/>
      <c r="C15" s="26" t="s">
        <v>150</v>
      </c>
      <c r="D15" s="25"/>
      <c r="E15" s="25"/>
      <c r="F15" s="25"/>
      <c r="G15" s="25"/>
      <c r="H15" s="24" t="s">
        <v>146</v>
      </c>
    </row>
    <row r="16" spans="1:9" x14ac:dyDescent="0.2">
      <c r="A16" s="25"/>
      <c r="B16" s="25"/>
      <c r="C16" s="26" t="s">
        <v>145</v>
      </c>
      <c r="D16" s="25"/>
      <c r="E16" s="25" t="s">
        <v>146</v>
      </c>
      <c r="F16" s="36" t="s">
        <v>148</v>
      </c>
      <c r="G16" s="33">
        <v>0</v>
      </c>
      <c r="H16" s="24" t="s">
        <v>146</v>
      </c>
    </row>
    <row r="17" spans="1:8" x14ac:dyDescent="0.2">
      <c r="A17" s="25"/>
      <c r="B17" s="25"/>
      <c r="C17" s="34"/>
      <c r="D17" s="25"/>
      <c r="E17" s="25"/>
      <c r="F17" s="35"/>
      <c r="G17" s="35"/>
      <c r="H17" s="24" t="s">
        <v>146</v>
      </c>
    </row>
    <row r="18" spans="1:8" x14ac:dyDescent="0.2">
      <c r="A18" s="25"/>
      <c r="B18" s="25"/>
      <c r="C18" s="26" t="s">
        <v>151</v>
      </c>
      <c r="D18" s="25"/>
      <c r="E18" s="25"/>
      <c r="F18" s="35"/>
      <c r="G18" s="35"/>
      <c r="H18" s="24" t="s">
        <v>146</v>
      </c>
    </row>
    <row r="19" spans="1:8" x14ac:dyDescent="0.2">
      <c r="A19" s="25"/>
      <c r="B19" s="25"/>
      <c r="C19" s="26" t="s">
        <v>145</v>
      </c>
      <c r="D19" s="25"/>
      <c r="E19" s="25" t="s">
        <v>146</v>
      </c>
      <c r="F19" s="36" t="s">
        <v>148</v>
      </c>
      <c r="G19" s="33">
        <v>0</v>
      </c>
      <c r="H19" s="24" t="s">
        <v>146</v>
      </c>
    </row>
    <row r="20" spans="1:8" x14ac:dyDescent="0.2">
      <c r="A20" s="25"/>
      <c r="B20" s="25"/>
      <c r="C20" s="34"/>
      <c r="D20" s="25"/>
      <c r="E20" s="25"/>
      <c r="F20" s="35"/>
      <c r="G20" s="35"/>
      <c r="H20" s="24" t="s">
        <v>146</v>
      </c>
    </row>
    <row r="21" spans="1:8" x14ac:dyDescent="0.2">
      <c r="A21" s="25"/>
      <c r="B21" s="25"/>
      <c r="C21" s="26" t="s">
        <v>152</v>
      </c>
      <c r="D21" s="25"/>
      <c r="E21" s="25"/>
      <c r="F21" s="35"/>
      <c r="G21" s="35"/>
      <c r="H21" s="24" t="s">
        <v>146</v>
      </c>
    </row>
    <row r="22" spans="1:8" x14ac:dyDescent="0.2">
      <c r="A22" s="25"/>
      <c r="B22" s="25"/>
      <c r="C22" s="26" t="s">
        <v>145</v>
      </c>
      <c r="D22" s="25"/>
      <c r="E22" s="25" t="s">
        <v>146</v>
      </c>
      <c r="F22" s="36" t="s">
        <v>148</v>
      </c>
      <c r="G22" s="33">
        <v>0</v>
      </c>
      <c r="H22" s="24" t="s">
        <v>146</v>
      </c>
    </row>
    <row r="23" spans="1:8" x14ac:dyDescent="0.2">
      <c r="A23" s="25"/>
      <c r="B23" s="25"/>
      <c r="C23" s="34"/>
      <c r="D23" s="25"/>
      <c r="E23" s="25"/>
      <c r="F23" s="35"/>
      <c r="G23" s="35"/>
      <c r="H23" s="24" t="s">
        <v>146</v>
      </c>
    </row>
    <row r="24" spans="1:8" x14ac:dyDescent="0.2">
      <c r="A24" s="25"/>
      <c r="B24" s="25"/>
      <c r="C24" s="26" t="s">
        <v>153</v>
      </c>
      <c r="D24" s="25"/>
      <c r="E24" s="25"/>
      <c r="F24" s="32">
        <v>0</v>
      </c>
      <c r="G24" s="33">
        <v>0</v>
      </c>
      <c r="H24" s="24" t="s">
        <v>146</v>
      </c>
    </row>
    <row r="25" spans="1:8" x14ac:dyDescent="0.2">
      <c r="A25" s="25"/>
      <c r="B25" s="25"/>
      <c r="C25" s="34"/>
      <c r="D25" s="25"/>
      <c r="E25" s="25"/>
      <c r="F25" s="35"/>
      <c r="G25" s="35"/>
      <c r="H25" s="24" t="s">
        <v>146</v>
      </c>
    </row>
    <row r="26" spans="1:8" x14ac:dyDescent="0.2">
      <c r="A26" s="25"/>
      <c r="B26" s="25"/>
      <c r="C26" s="26" t="s">
        <v>154</v>
      </c>
      <c r="D26" s="25"/>
      <c r="E26" s="25"/>
      <c r="F26" s="35"/>
      <c r="G26" s="35"/>
      <c r="H26" s="24" t="s">
        <v>146</v>
      </c>
    </row>
    <row r="27" spans="1:8" x14ac:dyDescent="0.2">
      <c r="A27" s="25"/>
      <c r="B27" s="25"/>
      <c r="C27" s="26" t="s">
        <v>10</v>
      </c>
      <c r="D27" s="25"/>
      <c r="E27" s="25"/>
      <c r="F27" s="35"/>
      <c r="G27" s="35"/>
      <c r="H27" s="24" t="s">
        <v>146</v>
      </c>
    </row>
    <row r="28" spans="1:8" x14ac:dyDescent="0.2">
      <c r="A28" s="25"/>
      <c r="B28" s="25"/>
      <c r="C28" s="26" t="s">
        <v>145</v>
      </c>
      <c r="D28" s="25"/>
      <c r="E28" s="25" t="s">
        <v>146</v>
      </c>
      <c r="F28" s="36" t="s">
        <v>148</v>
      </c>
      <c r="G28" s="33">
        <v>0</v>
      </c>
      <c r="H28" s="24" t="s">
        <v>146</v>
      </c>
    </row>
    <row r="29" spans="1:8" x14ac:dyDescent="0.2">
      <c r="A29" s="25"/>
      <c r="B29" s="25"/>
      <c r="C29" s="34"/>
      <c r="D29" s="25"/>
      <c r="E29" s="25"/>
      <c r="F29" s="35"/>
      <c r="G29" s="35"/>
      <c r="H29" s="24" t="s">
        <v>146</v>
      </c>
    </row>
    <row r="30" spans="1:8" x14ac:dyDescent="0.2">
      <c r="A30" s="25"/>
      <c r="B30" s="25"/>
      <c r="C30" s="26" t="s">
        <v>155</v>
      </c>
      <c r="D30" s="25"/>
      <c r="E30" s="25"/>
      <c r="F30" s="25"/>
      <c r="G30" s="25"/>
      <c r="H30" s="24" t="s">
        <v>146</v>
      </c>
    </row>
    <row r="31" spans="1:8" x14ac:dyDescent="0.2">
      <c r="A31" s="25"/>
      <c r="B31" s="25"/>
      <c r="C31" s="26" t="s">
        <v>145</v>
      </c>
      <c r="D31" s="25"/>
      <c r="E31" s="25" t="s">
        <v>146</v>
      </c>
      <c r="F31" s="36" t="s">
        <v>148</v>
      </c>
      <c r="G31" s="33">
        <v>0</v>
      </c>
      <c r="H31" s="24" t="s">
        <v>146</v>
      </c>
    </row>
    <row r="32" spans="1:8" x14ac:dyDescent="0.2">
      <c r="A32" s="25"/>
      <c r="B32" s="25"/>
      <c r="C32" s="34"/>
      <c r="D32" s="25"/>
      <c r="E32" s="25"/>
      <c r="F32" s="35"/>
      <c r="G32" s="35"/>
      <c r="H32" s="24" t="s">
        <v>146</v>
      </c>
    </row>
    <row r="33" spans="1:8" x14ac:dyDescent="0.2">
      <c r="A33" s="25"/>
      <c r="B33" s="25"/>
      <c r="C33" s="26" t="s">
        <v>156</v>
      </c>
      <c r="D33" s="25"/>
      <c r="E33" s="25"/>
      <c r="F33" s="25"/>
      <c r="G33" s="25"/>
      <c r="H33" s="24" t="s">
        <v>146</v>
      </c>
    </row>
    <row r="34" spans="1:8" x14ac:dyDescent="0.2">
      <c r="A34" s="25"/>
      <c r="B34" s="25"/>
      <c r="C34" s="26" t="s">
        <v>145</v>
      </c>
      <c r="D34" s="25"/>
      <c r="E34" s="25" t="s">
        <v>146</v>
      </c>
      <c r="F34" s="36" t="s">
        <v>148</v>
      </c>
      <c r="G34" s="33">
        <v>0</v>
      </c>
      <c r="H34" s="24" t="s">
        <v>146</v>
      </c>
    </row>
    <row r="35" spans="1:8" x14ac:dyDescent="0.2">
      <c r="A35" s="25"/>
      <c r="B35" s="25"/>
      <c r="C35" s="34"/>
      <c r="D35" s="25"/>
      <c r="E35" s="25"/>
      <c r="F35" s="35"/>
      <c r="G35" s="35"/>
      <c r="H35" s="24" t="s">
        <v>146</v>
      </c>
    </row>
    <row r="36" spans="1:8" x14ac:dyDescent="0.2">
      <c r="A36" s="25"/>
      <c r="B36" s="25"/>
      <c r="C36" s="26" t="s">
        <v>157</v>
      </c>
      <c r="D36" s="25"/>
      <c r="E36" s="25"/>
      <c r="F36" s="35"/>
      <c r="G36" s="35"/>
      <c r="H36" s="24" t="s">
        <v>146</v>
      </c>
    </row>
    <row r="37" spans="1:8" x14ac:dyDescent="0.2">
      <c r="A37" s="25"/>
      <c r="B37" s="25"/>
      <c r="C37" s="26" t="s">
        <v>145</v>
      </c>
      <c r="D37" s="25"/>
      <c r="E37" s="25" t="s">
        <v>146</v>
      </c>
      <c r="F37" s="36" t="s">
        <v>148</v>
      </c>
      <c r="G37" s="33">
        <v>0</v>
      </c>
      <c r="H37" s="24" t="s">
        <v>146</v>
      </c>
    </row>
    <row r="38" spans="1:8" x14ac:dyDescent="0.2">
      <c r="A38" s="25"/>
      <c r="B38" s="25"/>
      <c r="C38" s="34"/>
      <c r="D38" s="25"/>
      <c r="E38" s="25"/>
      <c r="F38" s="35"/>
      <c r="G38" s="35"/>
      <c r="H38" s="24" t="s">
        <v>146</v>
      </c>
    </row>
    <row r="39" spans="1:8" x14ac:dyDescent="0.2">
      <c r="A39" s="25"/>
      <c r="B39" s="25"/>
      <c r="C39" s="26" t="s">
        <v>158</v>
      </c>
      <c r="D39" s="25"/>
      <c r="E39" s="25"/>
      <c r="F39" s="32">
        <v>0</v>
      </c>
      <c r="G39" s="33">
        <v>0</v>
      </c>
      <c r="H39" s="24" t="s">
        <v>146</v>
      </c>
    </row>
    <row r="40" spans="1:8" x14ac:dyDescent="0.2">
      <c r="A40" s="25"/>
      <c r="B40" s="25"/>
      <c r="C40" s="34"/>
      <c r="D40" s="25"/>
      <c r="E40" s="25"/>
      <c r="F40" s="35"/>
      <c r="G40" s="35"/>
      <c r="H40" s="24" t="s">
        <v>146</v>
      </c>
    </row>
    <row r="41" spans="1:8" x14ac:dyDescent="0.2">
      <c r="A41" s="25"/>
      <c r="B41" s="25"/>
      <c r="C41" s="26" t="s">
        <v>159</v>
      </c>
      <c r="D41" s="25"/>
      <c r="E41" s="25"/>
      <c r="F41" s="35"/>
      <c r="G41" s="35"/>
      <c r="H41" s="24" t="s">
        <v>146</v>
      </c>
    </row>
    <row r="42" spans="1:8" x14ac:dyDescent="0.2">
      <c r="A42" s="25"/>
      <c r="B42" s="25"/>
      <c r="C42" s="26" t="s">
        <v>160</v>
      </c>
      <c r="D42" s="25"/>
      <c r="E42" s="25"/>
      <c r="F42" s="35"/>
      <c r="G42" s="35"/>
      <c r="H42" s="24" t="s">
        <v>146</v>
      </c>
    </row>
    <row r="43" spans="1:8" x14ac:dyDescent="0.2">
      <c r="A43" s="25"/>
      <c r="B43" s="25"/>
      <c r="C43" s="26" t="s">
        <v>145</v>
      </c>
      <c r="D43" s="25"/>
      <c r="E43" s="25" t="s">
        <v>146</v>
      </c>
      <c r="F43" s="36" t="s">
        <v>148</v>
      </c>
      <c r="G43" s="33">
        <v>0</v>
      </c>
      <c r="H43" s="24" t="s">
        <v>146</v>
      </c>
    </row>
    <row r="44" spans="1:8" x14ac:dyDescent="0.2">
      <c r="A44" s="25"/>
      <c r="B44" s="25"/>
      <c r="C44" s="34"/>
      <c r="D44" s="25"/>
      <c r="E44" s="25"/>
      <c r="F44" s="35"/>
      <c r="G44" s="35"/>
      <c r="H44" s="24" t="s">
        <v>146</v>
      </c>
    </row>
    <row r="45" spans="1:8" x14ac:dyDescent="0.2">
      <c r="A45" s="25"/>
      <c r="B45" s="25"/>
      <c r="C45" s="26" t="s">
        <v>161</v>
      </c>
      <c r="D45" s="25"/>
      <c r="E45" s="25"/>
      <c r="F45" s="35"/>
      <c r="G45" s="35"/>
      <c r="H45" s="24" t="s">
        <v>146</v>
      </c>
    </row>
    <row r="46" spans="1:8" x14ac:dyDescent="0.2">
      <c r="A46" s="25"/>
      <c r="B46" s="25"/>
      <c r="C46" s="26" t="s">
        <v>145</v>
      </c>
      <c r="D46" s="25"/>
      <c r="E46" s="25" t="s">
        <v>146</v>
      </c>
      <c r="F46" s="36" t="s">
        <v>148</v>
      </c>
      <c r="G46" s="33">
        <v>0</v>
      </c>
      <c r="H46" s="24" t="s">
        <v>146</v>
      </c>
    </row>
    <row r="47" spans="1:8" x14ac:dyDescent="0.2">
      <c r="A47" s="25"/>
      <c r="B47" s="25"/>
      <c r="C47" s="34"/>
      <c r="D47" s="25"/>
      <c r="E47" s="25"/>
      <c r="F47" s="35"/>
      <c r="G47" s="35"/>
      <c r="H47" s="24" t="s">
        <v>146</v>
      </c>
    </row>
    <row r="48" spans="1:8" x14ac:dyDescent="0.2">
      <c r="A48" s="25"/>
      <c r="B48" s="25"/>
      <c r="C48" s="26" t="s">
        <v>162</v>
      </c>
      <c r="D48" s="25"/>
      <c r="E48" s="25"/>
      <c r="F48" s="35"/>
      <c r="G48" s="35"/>
      <c r="H48" s="24" t="s">
        <v>146</v>
      </c>
    </row>
    <row r="49" spans="1:8" x14ac:dyDescent="0.2">
      <c r="A49" s="25"/>
      <c r="B49" s="25"/>
      <c r="C49" s="26" t="s">
        <v>145</v>
      </c>
      <c r="D49" s="25"/>
      <c r="E49" s="25" t="s">
        <v>146</v>
      </c>
      <c r="F49" s="36" t="s">
        <v>148</v>
      </c>
      <c r="G49" s="33">
        <v>0</v>
      </c>
      <c r="H49" s="24" t="s">
        <v>146</v>
      </c>
    </row>
    <row r="50" spans="1:8" x14ac:dyDescent="0.2">
      <c r="A50" s="25"/>
      <c r="B50" s="25"/>
      <c r="C50" s="34"/>
      <c r="D50" s="25"/>
      <c r="E50" s="25"/>
      <c r="F50" s="35"/>
      <c r="G50" s="35"/>
      <c r="H50" s="24" t="s">
        <v>146</v>
      </c>
    </row>
    <row r="51" spans="1:8" x14ac:dyDescent="0.2">
      <c r="A51" s="25"/>
      <c r="B51" s="25"/>
      <c r="C51" s="26" t="s">
        <v>163</v>
      </c>
      <c r="D51" s="25"/>
      <c r="E51" s="25"/>
      <c r="F51" s="35"/>
      <c r="G51" s="35"/>
      <c r="H51" s="24" t="s">
        <v>146</v>
      </c>
    </row>
    <row r="52" spans="1:8" x14ac:dyDescent="0.2">
      <c r="A52" s="27">
        <v>1</v>
      </c>
      <c r="B52" s="28"/>
      <c r="C52" s="28" t="s">
        <v>164</v>
      </c>
      <c r="D52" s="28"/>
      <c r="E52" s="38"/>
      <c r="F52" s="30">
        <v>569.15022419800005</v>
      </c>
      <c r="G52" s="31">
        <v>4.6960229999999999E-2</v>
      </c>
      <c r="H52" s="24">
        <v>6.57</v>
      </c>
    </row>
    <row r="53" spans="1:8" x14ac:dyDescent="0.2">
      <c r="A53" s="25"/>
      <c r="B53" s="25"/>
      <c r="C53" s="26" t="s">
        <v>145</v>
      </c>
      <c r="D53" s="25"/>
      <c r="E53" s="25" t="s">
        <v>146</v>
      </c>
      <c r="F53" s="32">
        <v>569.15022419800005</v>
      </c>
      <c r="G53" s="33">
        <v>4.6960229999999999E-2</v>
      </c>
      <c r="H53" s="24" t="s">
        <v>146</v>
      </c>
    </row>
    <row r="54" spans="1:8" x14ac:dyDescent="0.2">
      <c r="A54" s="25"/>
      <c r="B54" s="25"/>
      <c r="C54" s="34"/>
      <c r="D54" s="25"/>
      <c r="E54" s="25"/>
      <c r="F54" s="35"/>
      <c r="G54" s="35"/>
      <c r="H54" s="24" t="s">
        <v>146</v>
      </c>
    </row>
    <row r="55" spans="1:8" x14ac:dyDescent="0.2">
      <c r="A55" s="25"/>
      <c r="B55" s="25"/>
      <c r="C55" s="26" t="s">
        <v>165</v>
      </c>
      <c r="D55" s="25"/>
      <c r="E55" s="25"/>
      <c r="F55" s="32">
        <v>569.15022419800005</v>
      </c>
      <c r="G55" s="33">
        <v>4.6960229999999999E-2</v>
      </c>
      <c r="H55" s="24" t="s">
        <v>146</v>
      </c>
    </row>
    <row r="56" spans="1:8" x14ac:dyDescent="0.2">
      <c r="A56" s="25"/>
      <c r="B56" s="25"/>
      <c r="C56" s="35"/>
      <c r="D56" s="25"/>
      <c r="E56" s="25"/>
      <c r="F56" s="25"/>
      <c r="G56" s="25"/>
      <c r="H56" s="24" t="s">
        <v>146</v>
      </c>
    </row>
    <row r="57" spans="1:8" x14ac:dyDescent="0.2">
      <c r="A57" s="25"/>
      <c r="B57" s="25"/>
      <c r="C57" s="26" t="s">
        <v>166</v>
      </c>
      <c r="D57" s="25"/>
      <c r="E57" s="25"/>
      <c r="F57" s="25"/>
      <c r="G57" s="25"/>
      <c r="H57" s="24" t="s">
        <v>146</v>
      </c>
    </row>
    <row r="58" spans="1:8" ht="25.5" x14ac:dyDescent="0.2">
      <c r="A58" s="25"/>
      <c r="B58" s="25"/>
      <c r="C58" s="26" t="s">
        <v>1076</v>
      </c>
      <c r="D58" s="25"/>
      <c r="E58" s="25"/>
      <c r="F58" s="25"/>
      <c r="G58" s="25"/>
      <c r="H58" s="24" t="s">
        <v>146</v>
      </c>
    </row>
    <row r="59" spans="1:8" x14ac:dyDescent="0.2">
      <c r="A59" s="27">
        <v>1</v>
      </c>
      <c r="B59" s="28" t="s">
        <v>1074</v>
      </c>
      <c r="C59" s="28" t="s">
        <v>1075</v>
      </c>
      <c r="D59" s="28"/>
      <c r="E59" s="70">
        <v>8282595.0219999999</v>
      </c>
      <c r="F59" s="30">
        <v>11625.373179094</v>
      </c>
      <c r="G59" s="31">
        <v>0.95920234999999998</v>
      </c>
      <c r="H59" s="24" t="s">
        <v>146</v>
      </c>
    </row>
    <row r="60" spans="1:8" x14ac:dyDescent="0.2">
      <c r="A60" s="25"/>
      <c r="B60" s="25"/>
      <c r="C60" s="26" t="s">
        <v>145</v>
      </c>
      <c r="D60" s="25"/>
      <c r="E60" s="25" t="s">
        <v>146</v>
      </c>
      <c r="F60" s="32">
        <v>11625.373179094</v>
      </c>
      <c r="G60" s="33">
        <v>0.95920234999999998</v>
      </c>
      <c r="H60" s="24" t="s">
        <v>146</v>
      </c>
    </row>
    <row r="61" spans="1:8" x14ac:dyDescent="0.2">
      <c r="A61" s="25"/>
      <c r="B61" s="25"/>
      <c r="C61" s="34"/>
      <c r="D61" s="25"/>
      <c r="E61" s="25"/>
      <c r="F61" s="35"/>
      <c r="G61" s="35"/>
      <c r="H61" s="24" t="s">
        <v>146</v>
      </c>
    </row>
    <row r="62" spans="1:8" x14ac:dyDescent="0.2">
      <c r="A62" s="25"/>
      <c r="B62" s="25"/>
      <c r="C62" s="26" t="s">
        <v>168</v>
      </c>
      <c r="D62" s="25"/>
      <c r="E62" s="25"/>
      <c r="F62" s="25"/>
      <c r="G62" s="25"/>
      <c r="H62" s="24" t="s">
        <v>146</v>
      </c>
    </row>
    <row r="63" spans="1:8" x14ac:dyDescent="0.2">
      <c r="A63" s="25"/>
      <c r="B63" s="25"/>
      <c r="C63" s="26" t="s">
        <v>169</v>
      </c>
      <c r="D63" s="25"/>
      <c r="E63" s="25"/>
      <c r="F63" s="25"/>
      <c r="G63" s="25"/>
      <c r="H63" s="24" t="s">
        <v>146</v>
      </c>
    </row>
    <row r="64" spans="1:8" x14ac:dyDescent="0.2">
      <c r="A64" s="25"/>
      <c r="B64" s="25"/>
      <c r="C64" s="26" t="s">
        <v>145</v>
      </c>
      <c r="D64" s="25"/>
      <c r="E64" s="25" t="s">
        <v>146</v>
      </c>
      <c r="F64" s="36" t="s">
        <v>148</v>
      </c>
      <c r="G64" s="33">
        <v>0</v>
      </c>
      <c r="H64" s="24" t="s">
        <v>146</v>
      </c>
    </row>
    <row r="65" spans="1:16" x14ac:dyDescent="0.2">
      <c r="A65" s="25"/>
      <c r="B65" s="25"/>
      <c r="C65" s="34"/>
      <c r="D65" s="25"/>
      <c r="E65" s="25"/>
      <c r="F65" s="35"/>
      <c r="G65" s="35"/>
      <c r="H65" s="24" t="s">
        <v>146</v>
      </c>
    </row>
    <row r="66" spans="1:16" x14ac:dyDescent="0.2">
      <c r="A66" s="25"/>
      <c r="B66" s="25"/>
      <c r="C66" s="26" t="s">
        <v>170</v>
      </c>
      <c r="D66" s="25"/>
      <c r="E66" s="25"/>
      <c r="F66" s="35"/>
      <c r="G66" s="35"/>
      <c r="H66" s="24" t="s">
        <v>146</v>
      </c>
    </row>
    <row r="67" spans="1:16" x14ac:dyDescent="0.2">
      <c r="A67" s="25"/>
      <c r="B67" s="25"/>
      <c r="C67" s="26" t="s">
        <v>145</v>
      </c>
      <c r="D67" s="25"/>
      <c r="E67" s="25" t="s">
        <v>146</v>
      </c>
      <c r="F67" s="36" t="s">
        <v>148</v>
      </c>
      <c r="G67" s="33">
        <v>0</v>
      </c>
      <c r="H67" s="24" t="s">
        <v>146</v>
      </c>
    </row>
    <row r="68" spans="1:16" x14ac:dyDescent="0.2">
      <c r="A68" s="25"/>
      <c r="B68" s="25"/>
      <c r="C68" s="34"/>
      <c r="D68" s="25"/>
      <c r="E68" s="25"/>
      <c r="F68" s="35"/>
      <c r="G68" s="35"/>
      <c r="H68" s="24" t="s">
        <v>146</v>
      </c>
    </row>
    <row r="69" spans="1:16" x14ac:dyDescent="0.2">
      <c r="A69" s="38"/>
      <c r="B69" s="28"/>
      <c r="C69" s="28" t="s">
        <v>171</v>
      </c>
      <c r="D69" s="28"/>
      <c r="E69" s="38"/>
      <c r="F69" s="30">
        <v>-74.68944501</v>
      </c>
      <c r="G69" s="31">
        <v>-6.16258E-3</v>
      </c>
      <c r="H69" s="24" t="s">
        <v>146</v>
      </c>
    </row>
    <row r="70" spans="1:16" x14ac:dyDescent="0.2">
      <c r="A70" s="34"/>
      <c r="B70" s="34"/>
      <c r="C70" s="26" t="s">
        <v>172</v>
      </c>
      <c r="D70" s="35"/>
      <c r="E70" s="35"/>
      <c r="F70" s="32">
        <v>12119.833958282001</v>
      </c>
      <c r="G70" s="39">
        <v>1</v>
      </c>
      <c r="H70" s="24" t="s">
        <v>146</v>
      </c>
    </row>
    <row r="71" spans="1:16" x14ac:dyDescent="0.2">
      <c r="A71" s="40"/>
      <c r="B71" s="40"/>
      <c r="C71" s="40"/>
      <c r="D71" s="41"/>
      <c r="E71" s="41"/>
      <c r="F71" s="41"/>
      <c r="G71" s="41"/>
    </row>
    <row r="72" spans="1:16" x14ac:dyDescent="0.2">
      <c r="A72" s="42"/>
      <c r="B72" s="236" t="s">
        <v>858</v>
      </c>
      <c r="C72" s="236"/>
      <c r="D72" s="236"/>
      <c r="E72" s="236"/>
      <c r="F72" s="236"/>
      <c r="G72" s="236"/>
      <c r="H72" s="236"/>
    </row>
    <row r="73" spans="1:16" x14ac:dyDescent="0.2">
      <c r="A73" s="42"/>
      <c r="B73" s="236" t="s">
        <v>859</v>
      </c>
      <c r="C73" s="236"/>
      <c r="D73" s="236"/>
      <c r="E73" s="236"/>
      <c r="F73" s="236"/>
      <c r="G73" s="236"/>
      <c r="H73" s="236"/>
    </row>
    <row r="74" spans="1:16" x14ac:dyDescent="0.2">
      <c r="A74" s="42"/>
      <c r="B74" s="236" t="s">
        <v>860</v>
      </c>
      <c r="C74" s="236"/>
      <c r="D74" s="236"/>
      <c r="E74" s="236"/>
      <c r="F74" s="236"/>
      <c r="G74" s="236"/>
      <c r="H74" s="236"/>
    </row>
    <row r="75" spans="1:16" s="46" customFormat="1" ht="66.75" customHeight="1" x14ac:dyDescent="0.25">
      <c r="A75" s="45"/>
      <c r="B75" s="237" t="s">
        <v>861</v>
      </c>
      <c r="C75" s="237"/>
      <c r="D75" s="237"/>
      <c r="E75" s="237"/>
      <c r="F75" s="237"/>
      <c r="G75" s="237"/>
      <c r="H75" s="237"/>
      <c r="I75"/>
      <c r="J75"/>
      <c r="K75"/>
      <c r="L75"/>
      <c r="M75"/>
      <c r="N75"/>
      <c r="O75"/>
      <c r="P75"/>
    </row>
    <row r="76" spans="1:16" x14ac:dyDescent="0.2">
      <c r="A76" s="42"/>
      <c r="B76" s="236" t="s">
        <v>862</v>
      </c>
      <c r="C76" s="236"/>
      <c r="D76" s="236"/>
      <c r="E76" s="236"/>
      <c r="F76" s="236"/>
      <c r="G76" s="236"/>
      <c r="H76" s="236"/>
    </row>
    <row r="77" spans="1:16" x14ac:dyDescent="0.2">
      <c r="A77" s="47"/>
      <c r="B77" s="47"/>
      <c r="C77" s="47"/>
      <c r="D77" s="48"/>
      <c r="E77" s="48"/>
      <c r="F77" s="48"/>
      <c r="G77" s="48"/>
    </row>
    <row r="78" spans="1:16" x14ac:dyDescent="0.2">
      <c r="A78" s="47"/>
      <c r="B78" s="233" t="s">
        <v>173</v>
      </c>
      <c r="C78" s="234"/>
      <c r="D78" s="235"/>
      <c r="E78" s="49"/>
      <c r="F78" s="48"/>
      <c r="G78" s="48"/>
    </row>
    <row r="79" spans="1:16" ht="24.75" customHeight="1" x14ac:dyDescent="0.2">
      <c r="A79" s="47"/>
      <c r="B79" s="231" t="s">
        <v>174</v>
      </c>
      <c r="C79" s="232"/>
      <c r="D79" s="26" t="s">
        <v>175</v>
      </c>
      <c r="E79" s="49"/>
      <c r="F79" s="48"/>
      <c r="G79" s="48"/>
    </row>
    <row r="80" spans="1:16" x14ac:dyDescent="0.2">
      <c r="A80" s="47"/>
      <c r="B80" s="231" t="s">
        <v>863</v>
      </c>
      <c r="C80" s="232"/>
      <c r="D80" s="26" t="s">
        <v>175</v>
      </c>
      <c r="E80" s="49"/>
      <c r="F80" s="48"/>
      <c r="G80" s="48"/>
    </row>
    <row r="81" spans="1:10" x14ac:dyDescent="0.2">
      <c r="A81" s="47"/>
      <c r="B81" s="231" t="s">
        <v>176</v>
      </c>
      <c r="C81" s="232"/>
      <c r="D81" s="35" t="s">
        <v>146</v>
      </c>
      <c r="E81" s="49"/>
      <c r="F81" s="48"/>
      <c r="G81" s="48"/>
    </row>
    <row r="82" spans="1:10" x14ac:dyDescent="0.2">
      <c r="A82" s="53"/>
      <c r="B82" s="54" t="s">
        <v>146</v>
      </c>
      <c r="C82" s="54" t="s">
        <v>864</v>
      </c>
      <c r="D82" s="54" t="s">
        <v>177</v>
      </c>
      <c r="E82" s="53"/>
      <c r="F82" s="53"/>
      <c r="G82" s="53"/>
      <c r="H82" s="53"/>
      <c r="J82" s="44"/>
    </row>
    <row r="83" spans="1:10" x14ac:dyDescent="0.2">
      <c r="A83" s="53"/>
      <c r="B83" s="55" t="s">
        <v>178</v>
      </c>
      <c r="C83" s="56">
        <v>45657</v>
      </c>
      <c r="D83" s="56">
        <v>45688</v>
      </c>
      <c r="E83" s="53"/>
      <c r="F83" s="53"/>
      <c r="G83" s="53"/>
      <c r="J83" s="44"/>
    </row>
    <row r="84" spans="1:10" x14ac:dyDescent="0.2">
      <c r="A84" s="57"/>
      <c r="B84" s="28" t="s">
        <v>179</v>
      </c>
      <c r="C84" s="58">
        <v>35.241</v>
      </c>
      <c r="D84" s="58">
        <v>37.487099999999998</v>
      </c>
      <c r="E84" s="57"/>
      <c r="F84" s="59"/>
      <c r="G84" s="60"/>
    </row>
    <row r="85" spans="1:10" x14ac:dyDescent="0.2">
      <c r="A85" s="57"/>
      <c r="B85" s="28" t="s">
        <v>1025</v>
      </c>
      <c r="C85" s="58">
        <v>31.341100000000001</v>
      </c>
      <c r="D85" s="58">
        <v>33.3386</v>
      </c>
      <c r="E85" s="57"/>
      <c r="F85" s="59"/>
      <c r="G85" s="60"/>
    </row>
    <row r="86" spans="1:10" x14ac:dyDescent="0.2">
      <c r="A86" s="57"/>
      <c r="B86" s="28" t="s">
        <v>180</v>
      </c>
      <c r="C86" s="58">
        <v>32.335900000000002</v>
      </c>
      <c r="D86" s="58">
        <v>34.369599999999998</v>
      </c>
      <c r="E86" s="57"/>
      <c r="F86" s="59"/>
      <c r="G86" s="60"/>
    </row>
    <row r="87" spans="1:10" x14ac:dyDescent="0.2">
      <c r="A87" s="57"/>
      <c r="B87" s="28" t="s">
        <v>1026</v>
      </c>
      <c r="C87" s="58">
        <v>27.709099999999999</v>
      </c>
      <c r="D87" s="58">
        <v>29.451799999999999</v>
      </c>
      <c r="E87" s="57"/>
      <c r="F87" s="59"/>
      <c r="G87" s="60"/>
    </row>
    <row r="88" spans="1:10" x14ac:dyDescent="0.2">
      <c r="A88" s="57"/>
      <c r="B88" s="57"/>
      <c r="C88" s="57"/>
      <c r="D88" s="57"/>
      <c r="E88" s="57"/>
      <c r="F88" s="57"/>
      <c r="G88" s="57"/>
    </row>
    <row r="89" spans="1:10" s="72" customFormat="1" x14ac:dyDescent="0.2">
      <c r="A89" s="71"/>
      <c r="B89" s="239" t="s">
        <v>865</v>
      </c>
      <c r="C89" s="240"/>
      <c r="D89" s="50" t="s">
        <v>175</v>
      </c>
      <c r="E89" s="71"/>
      <c r="F89" s="71"/>
      <c r="G89" s="71"/>
    </row>
    <row r="90" spans="1:10" s="72" customFormat="1" x14ac:dyDescent="0.2">
      <c r="A90" s="71"/>
      <c r="B90" s="73"/>
      <c r="C90" s="73"/>
      <c r="D90" s="71"/>
      <c r="E90" s="71"/>
      <c r="F90" s="71"/>
      <c r="G90" s="71"/>
    </row>
    <row r="91" spans="1:10" x14ac:dyDescent="0.2">
      <c r="A91" s="53"/>
      <c r="B91" s="227" t="s">
        <v>181</v>
      </c>
      <c r="C91" s="228"/>
      <c r="D91" s="50" t="s">
        <v>175</v>
      </c>
      <c r="E91" s="64"/>
      <c r="F91" s="53"/>
      <c r="G91" s="53"/>
      <c r="I91" s="72"/>
    </row>
    <row r="92" spans="1:10" x14ac:dyDescent="0.2">
      <c r="A92" s="53"/>
      <c r="B92" s="227" t="s">
        <v>182</v>
      </c>
      <c r="C92" s="228"/>
      <c r="D92" s="50" t="str">
        <f>"Rs. "&amp;TEXT(F60,"0,000.00")&amp;" Lacs"</f>
        <v>Rs. 11,625.37 Lacs</v>
      </c>
      <c r="E92" s="64"/>
      <c r="F92" s="53"/>
      <c r="G92" s="53"/>
      <c r="I92" s="72"/>
    </row>
    <row r="93" spans="1:10" x14ac:dyDescent="0.2">
      <c r="A93" s="53"/>
      <c r="B93" s="227" t="s">
        <v>183</v>
      </c>
      <c r="C93" s="228"/>
      <c r="D93" s="50" t="s">
        <v>175</v>
      </c>
      <c r="E93" s="64"/>
      <c r="F93" s="53"/>
      <c r="G93" s="53"/>
      <c r="I93" s="72"/>
    </row>
    <row r="94" spans="1:10" x14ac:dyDescent="0.2">
      <c r="A94" s="53"/>
      <c r="B94" s="227" t="s">
        <v>184</v>
      </c>
      <c r="C94" s="228"/>
      <c r="D94" s="65">
        <v>0</v>
      </c>
      <c r="E94" s="53"/>
      <c r="F94" s="43"/>
      <c r="G94" s="63"/>
      <c r="I94" s="72"/>
    </row>
    <row r="95" spans="1:10" x14ac:dyDescent="0.2">
      <c r="I95" s="72"/>
    </row>
    <row r="96" spans="1:10" x14ac:dyDescent="0.2">
      <c r="B96" s="229" t="s">
        <v>866</v>
      </c>
      <c r="C96" s="229"/>
    </row>
    <row r="98" spans="2:10" ht="153.75" customHeight="1" x14ac:dyDescent="0.2"/>
    <row r="101" spans="2:10" x14ac:dyDescent="0.2">
      <c r="B101" s="66" t="s">
        <v>867</v>
      </c>
      <c r="C101" s="67"/>
      <c r="D101" s="66"/>
    </row>
    <row r="102" spans="2:10" x14ac:dyDescent="0.2">
      <c r="B102" s="66" t="s">
        <v>1090</v>
      </c>
      <c r="D102" s="66"/>
    </row>
    <row r="103" spans="2:10" ht="165" customHeight="1" x14ac:dyDescent="0.2"/>
    <row r="105" spans="2:10" x14ac:dyDescent="0.2">
      <c r="J105" s="21"/>
    </row>
  </sheetData>
  <mergeCells count="18">
    <mergeCell ref="B91:C91"/>
    <mergeCell ref="B92:C92"/>
    <mergeCell ref="B78:D78"/>
    <mergeCell ref="B79:C79"/>
    <mergeCell ref="B96:C96"/>
    <mergeCell ref="B89:C89"/>
    <mergeCell ref="B93:C93"/>
    <mergeCell ref="B94:C94"/>
    <mergeCell ref="A1:H1"/>
    <mergeCell ref="A2:H2"/>
    <mergeCell ref="A3:H3"/>
    <mergeCell ref="B72:H72"/>
    <mergeCell ref="B73:H73"/>
    <mergeCell ref="B74:H74"/>
    <mergeCell ref="B75:H75"/>
    <mergeCell ref="B76:H76"/>
    <mergeCell ref="B80:C80"/>
    <mergeCell ref="B81:C81"/>
  </mergeCells>
  <hyperlinks>
    <hyperlink ref="I1" location="Index!B2" display="Index" xr:uid="{70EF438E-E8CD-4831-B26B-3A6EB40A91C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F4599-BA82-4172-A8CB-9DD4236E764C}">
  <sheetPr>
    <outlinePr summaryBelow="0" summaryRight="0"/>
  </sheetPr>
  <dimension ref="A1:Q129"/>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3.7109375" bestFit="1" customWidth="1"/>
    <col min="5" max="5" width="9"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838</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327</v>
      </c>
      <c r="C7" s="28" t="s">
        <v>328</v>
      </c>
      <c r="D7" s="28" t="s">
        <v>33</v>
      </c>
      <c r="E7" s="29">
        <v>1382396</v>
      </c>
      <c r="F7" s="30">
        <v>23483.45205</v>
      </c>
      <c r="G7" s="31">
        <v>0.16943969</v>
      </c>
      <c r="H7" s="24" t="s">
        <v>146</v>
      </c>
    </row>
    <row r="8" spans="1:9" x14ac:dyDescent="0.2">
      <c r="A8" s="27">
        <v>2</v>
      </c>
      <c r="B8" s="28" t="s">
        <v>31</v>
      </c>
      <c r="C8" s="28" t="s">
        <v>32</v>
      </c>
      <c r="D8" s="28" t="s">
        <v>33</v>
      </c>
      <c r="E8" s="29">
        <v>1329089</v>
      </c>
      <c r="F8" s="30">
        <v>16650.826991999998</v>
      </c>
      <c r="G8" s="31">
        <v>0.12014038</v>
      </c>
      <c r="H8" s="24" t="s">
        <v>146</v>
      </c>
    </row>
    <row r="9" spans="1:9" x14ac:dyDescent="0.2">
      <c r="A9" s="27">
        <v>3</v>
      </c>
      <c r="B9" s="28" t="s">
        <v>339</v>
      </c>
      <c r="C9" s="28" t="s">
        <v>340</v>
      </c>
      <c r="D9" s="28" t="s">
        <v>33</v>
      </c>
      <c r="E9" s="29">
        <v>1259449</v>
      </c>
      <c r="F9" s="30">
        <v>12419.426589000001</v>
      </c>
      <c r="G9" s="31">
        <v>8.9609640000000004E-2</v>
      </c>
      <c r="H9" s="24" t="s">
        <v>146</v>
      </c>
    </row>
    <row r="10" spans="1:9" x14ac:dyDescent="0.2">
      <c r="A10" s="27">
        <v>4</v>
      </c>
      <c r="B10" s="28" t="s">
        <v>48</v>
      </c>
      <c r="C10" s="28" t="s">
        <v>49</v>
      </c>
      <c r="D10" s="28" t="s">
        <v>33</v>
      </c>
      <c r="E10" s="29">
        <v>885294</v>
      </c>
      <c r="F10" s="30">
        <v>6842.4373260000002</v>
      </c>
      <c r="G10" s="31">
        <v>4.93701E-2</v>
      </c>
      <c r="H10" s="24" t="s">
        <v>146</v>
      </c>
    </row>
    <row r="11" spans="1:9" x14ac:dyDescent="0.2">
      <c r="A11" s="27">
        <v>5</v>
      </c>
      <c r="B11" s="28" t="s">
        <v>448</v>
      </c>
      <c r="C11" s="28" t="s">
        <v>449</v>
      </c>
      <c r="D11" s="28" t="s">
        <v>33</v>
      </c>
      <c r="E11" s="29">
        <v>601270</v>
      </c>
      <c r="F11" s="30">
        <v>5959.7882399999999</v>
      </c>
      <c r="G11" s="31">
        <v>4.3001539999999998E-2</v>
      </c>
      <c r="H11" s="24" t="s">
        <v>146</v>
      </c>
    </row>
    <row r="12" spans="1:9" x14ac:dyDescent="0.2">
      <c r="A12" s="27">
        <v>6</v>
      </c>
      <c r="B12" s="28" t="s">
        <v>644</v>
      </c>
      <c r="C12" s="28" t="s">
        <v>645</v>
      </c>
      <c r="D12" s="28" t="s">
        <v>120</v>
      </c>
      <c r="E12" s="29">
        <v>73340</v>
      </c>
      <c r="F12" s="30">
        <v>5782.9323400000003</v>
      </c>
      <c r="G12" s="31">
        <v>4.1725480000000002E-2</v>
      </c>
      <c r="H12" s="24" t="s">
        <v>146</v>
      </c>
    </row>
    <row r="13" spans="1:9" x14ac:dyDescent="0.2">
      <c r="A13" s="27">
        <v>7</v>
      </c>
      <c r="B13" s="28" t="s">
        <v>269</v>
      </c>
      <c r="C13" s="28" t="s">
        <v>270</v>
      </c>
      <c r="D13" s="28" t="s">
        <v>120</v>
      </c>
      <c r="E13" s="29">
        <v>1036445</v>
      </c>
      <c r="F13" s="30">
        <v>5635.6696874999998</v>
      </c>
      <c r="G13" s="31">
        <v>4.0662940000000002E-2</v>
      </c>
      <c r="H13" s="24" t="s">
        <v>146</v>
      </c>
    </row>
    <row r="14" spans="1:9" x14ac:dyDescent="0.2">
      <c r="A14" s="27">
        <v>8</v>
      </c>
      <c r="B14" s="28" t="s">
        <v>389</v>
      </c>
      <c r="C14" s="28" t="s">
        <v>390</v>
      </c>
      <c r="D14" s="28" t="s">
        <v>33</v>
      </c>
      <c r="E14" s="29">
        <v>14970926</v>
      </c>
      <c r="F14" s="30">
        <v>5377.5566191999997</v>
      </c>
      <c r="G14" s="31">
        <v>3.8800580000000001E-2</v>
      </c>
      <c r="H14" s="24" t="s">
        <v>146</v>
      </c>
    </row>
    <row r="15" spans="1:9" x14ac:dyDescent="0.2">
      <c r="A15" s="27">
        <v>9</v>
      </c>
      <c r="B15" s="28" t="s">
        <v>385</v>
      </c>
      <c r="C15" s="28" t="s">
        <v>386</v>
      </c>
      <c r="D15" s="28" t="s">
        <v>33</v>
      </c>
      <c r="E15" s="29">
        <v>1694369</v>
      </c>
      <c r="F15" s="30">
        <v>5186.4635090000002</v>
      </c>
      <c r="G15" s="31">
        <v>3.7421790000000003E-2</v>
      </c>
      <c r="H15" s="24" t="s">
        <v>146</v>
      </c>
    </row>
    <row r="16" spans="1:9" x14ac:dyDescent="0.2">
      <c r="A16" s="27">
        <v>10</v>
      </c>
      <c r="B16" s="28" t="s">
        <v>463</v>
      </c>
      <c r="C16" s="28" t="s">
        <v>464</v>
      </c>
      <c r="D16" s="28" t="s">
        <v>120</v>
      </c>
      <c r="E16" s="29">
        <v>576674</v>
      </c>
      <c r="F16" s="30">
        <v>5064.3510679999999</v>
      </c>
      <c r="G16" s="31">
        <v>3.6540709999999997E-2</v>
      </c>
      <c r="H16" s="24" t="s">
        <v>146</v>
      </c>
    </row>
    <row r="17" spans="1:8" x14ac:dyDescent="0.2">
      <c r="A17" s="27">
        <v>11</v>
      </c>
      <c r="B17" s="28" t="s">
        <v>387</v>
      </c>
      <c r="C17" s="28" t="s">
        <v>388</v>
      </c>
      <c r="D17" s="28" t="s">
        <v>33</v>
      </c>
      <c r="E17" s="29">
        <v>7238410</v>
      </c>
      <c r="F17" s="30">
        <v>4813.5426500000003</v>
      </c>
      <c r="G17" s="31">
        <v>3.4731060000000001E-2</v>
      </c>
      <c r="H17" s="24" t="s">
        <v>146</v>
      </c>
    </row>
    <row r="18" spans="1:8" x14ac:dyDescent="0.2">
      <c r="A18" s="27">
        <v>12</v>
      </c>
      <c r="B18" s="28" t="s">
        <v>341</v>
      </c>
      <c r="C18" s="28" t="s">
        <v>342</v>
      </c>
      <c r="D18" s="28" t="s">
        <v>33</v>
      </c>
      <c r="E18" s="29">
        <v>2143196</v>
      </c>
      <c r="F18" s="30">
        <v>4573.3659444000004</v>
      </c>
      <c r="G18" s="31">
        <v>3.2998119999999999E-2</v>
      </c>
      <c r="H18" s="24" t="s">
        <v>146</v>
      </c>
    </row>
    <row r="19" spans="1:8" x14ac:dyDescent="0.2">
      <c r="A19" s="27">
        <v>13</v>
      </c>
      <c r="B19" s="28" t="s">
        <v>475</v>
      </c>
      <c r="C19" s="28" t="s">
        <v>476</v>
      </c>
      <c r="D19" s="28" t="s">
        <v>33</v>
      </c>
      <c r="E19" s="29">
        <v>3717904</v>
      </c>
      <c r="F19" s="30">
        <v>4435.8312624</v>
      </c>
      <c r="G19" s="31">
        <v>3.2005770000000003E-2</v>
      </c>
      <c r="H19" s="24" t="s">
        <v>146</v>
      </c>
    </row>
    <row r="20" spans="1:8" x14ac:dyDescent="0.2">
      <c r="A20" s="27">
        <v>14</v>
      </c>
      <c r="B20" s="28" t="s">
        <v>118</v>
      </c>
      <c r="C20" s="28" t="s">
        <v>119</v>
      </c>
      <c r="D20" s="28" t="s">
        <v>120</v>
      </c>
      <c r="E20" s="29">
        <v>957089</v>
      </c>
      <c r="F20" s="30">
        <v>4305.4648665000004</v>
      </c>
      <c r="G20" s="31">
        <v>3.1065140000000002E-2</v>
      </c>
      <c r="H20" s="24" t="s">
        <v>146</v>
      </c>
    </row>
    <row r="21" spans="1:8" x14ac:dyDescent="0.2">
      <c r="A21" s="27">
        <v>15</v>
      </c>
      <c r="B21" s="28" t="s">
        <v>317</v>
      </c>
      <c r="C21" s="28" t="s">
        <v>318</v>
      </c>
      <c r="D21" s="28" t="s">
        <v>120</v>
      </c>
      <c r="E21" s="29">
        <v>274216</v>
      </c>
      <c r="F21" s="30">
        <v>4164.7926079999997</v>
      </c>
      <c r="G21" s="31">
        <v>3.0050150000000001E-2</v>
      </c>
      <c r="H21" s="24" t="s">
        <v>146</v>
      </c>
    </row>
    <row r="22" spans="1:8" x14ac:dyDescent="0.2">
      <c r="A22" s="27">
        <v>16</v>
      </c>
      <c r="B22" s="28" t="s">
        <v>267</v>
      </c>
      <c r="C22" s="28" t="s">
        <v>268</v>
      </c>
      <c r="D22" s="28" t="s">
        <v>120</v>
      </c>
      <c r="E22" s="29">
        <v>951553</v>
      </c>
      <c r="F22" s="30">
        <v>4020.3114249999999</v>
      </c>
      <c r="G22" s="31">
        <v>2.9007669999999999E-2</v>
      </c>
      <c r="H22" s="24" t="s">
        <v>146</v>
      </c>
    </row>
    <row r="23" spans="1:8" x14ac:dyDescent="0.2">
      <c r="A23" s="27">
        <v>17</v>
      </c>
      <c r="B23" s="28" t="s">
        <v>278</v>
      </c>
      <c r="C23" s="28" t="s">
        <v>279</v>
      </c>
      <c r="D23" s="28" t="s">
        <v>280</v>
      </c>
      <c r="E23" s="29">
        <v>636027</v>
      </c>
      <c r="F23" s="30">
        <v>3917.92632</v>
      </c>
      <c r="G23" s="31">
        <v>2.8268939999999999E-2</v>
      </c>
      <c r="H23" s="24" t="s">
        <v>146</v>
      </c>
    </row>
    <row r="24" spans="1:8" x14ac:dyDescent="0.2">
      <c r="A24" s="27">
        <v>18</v>
      </c>
      <c r="B24" s="28" t="s">
        <v>419</v>
      </c>
      <c r="C24" s="28" t="s">
        <v>420</v>
      </c>
      <c r="D24" s="28" t="s">
        <v>120</v>
      </c>
      <c r="E24" s="29">
        <v>307433</v>
      </c>
      <c r="F24" s="30">
        <v>3329.0382405</v>
      </c>
      <c r="G24" s="31">
        <v>2.401994E-2</v>
      </c>
      <c r="H24" s="24" t="s">
        <v>146</v>
      </c>
    </row>
    <row r="25" spans="1:8" x14ac:dyDescent="0.2">
      <c r="A25" s="27">
        <v>19</v>
      </c>
      <c r="B25" s="28" t="s">
        <v>513</v>
      </c>
      <c r="C25" s="28" t="s">
        <v>514</v>
      </c>
      <c r="D25" s="28" t="s">
        <v>33</v>
      </c>
      <c r="E25" s="29">
        <v>1975398</v>
      </c>
      <c r="F25" s="30">
        <v>2222.7178296000002</v>
      </c>
      <c r="G25" s="31">
        <v>1.6037530000000001E-2</v>
      </c>
      <c r="H25" s="24" t="s">
        <v>146</v>
      </c>
    </row>
    <row r="26" spans="1:8" x14ac:dyDescent="0.2">
      <c r="A26" s="27">
        <v>20</v>
      </c>
      <c r="B26" s="28" t="s">
        <v>307</v>
      </c>
      <c r="C26" s="28" t="s">
        <v>308</v>
      </c>
      <c r="D26" s="28" t="s">
        <v>120</v>
      </c>
      <c r="E26" s="29">
        <v>121433</v>
      </c>
      <c r="F26" s="30">
        <v>2079.9044239999998</v>
      </c>
      <c r="G26" s="31">
        <v>1.5007090000000001E-2</v>
      </c>
      <c r="H26" s="24" t="s">
        <v>146</v>
      </c>
    </row>
    <row r="27" spans="1:8" x14ac:dyDescent="0.2">
      <c r="A27" s="27">
        <v>21</v>
      </c>
      <c r="B27" s="28" t="s">
        <v>504</v>
      </c>
      <c r="C27" s="28" t="s">
        <v>505</v>
      </c>
      <c r="D27" s="28" t="s">
        <v>233</v>
      </c>
      <c r="E27" s="29">
        <v>27147</v>
      </c>
      <c r="F27" s="30">
        <v>551.62703999999997</v>
      </c>
      <c r="G27" s="31">
        <v>3.9801400000000001E-3</v>
      </c>
      <c r="H27" s="24" t="s">
        <v>146</v>
      </c>
    </row>
    <row r="28" spans="1:8" x14ac:dyDescent="0.2">
      <c r="A28" s="27">
        <v>22</v>
      </c>
      <c r="B28" s="28" t="s">
        <v>395</v>
      </c>
      <c r="C28" s="28" t="s">
        <v>396</v>
      </c>
      <c r="D28" s="28" t="s">
        <v>233</v>
      </c>
      <c r="E28" s="29">
        <v>6</v>
      </c>
      <c r="F28" s="30">
        <v>0.140766</v>
      </c>
      <c r="G28" s="31" t="s">
        <v>144</v>
      </c>
      <c r="H28" s="24" t="s">
        <v>146</v>
      </c>
    </row>
    <row r="29" spans="1:8" x14ac:dyDescent="0.2">
      <c r="A29" s="25"/>
      <c r="B29" s="25"/>
      <c r="C29" s="26" t="s">
        <v>145</v>
      </c>
      <c r="D29" s="25"/>
      <c r="E29" s="25" t="s">
        <v>146</v>
      </c>
      <c r="F29" s="32">
        <f>SUM(F7:F28)</f>
        <v>130817.5677971</v>
      </c>
      <c r="G29" s="33">
        <f>SUM(G7:G28)</f>
        <v>0.94388440000000018</v>
      </c>
      <c r="H29" s="24" t="s">
        <v>146</v>
      </c>
    </row>
    <row r="30" spans="1:8" x14ac:dyDescent="0.2">
      <c r="A30" s="25"/>
      <c r="B30" s="25"/>
      <c r="C30" s="34"/>
      <c r="D30" s="25"/>
      <c r="E30" s="25"/>
      <c r="F30" s="35"/>
      <c r="G30" s="35"/>
      <c r="H30" s="24" t="s">
        <v>146</v>
      </c>
    </row>
    <row r="31" spans="1:8" x14ac:dyDescent="0.2">
      <c r="A31" s="25"/>
      <c r="B31" s="25"/>
      <c r="C31" s="26" t="s">
        <v>147</v>
      </c>
      <c r="D31" s="25"/>
      <c r="E31" s="25"/>
      <c r="F31" s="25"/>
      <c r="G31" s="25"/>
      <c r="H31" s="24" t="s">
        <v>146</v>
      </c>
    </row>
    <row r="32" spans="1:8" x14ac:dyDescent="0.2">
      <c r="A32" s="25"/>
      <c r="B32" s="25"/>
      <c r="C32" s="26" t="s">
        <v>145</v>
      </c>
      <c r="D32" s="25"/>
      <c r="E32" s="25" t="s">
        <v>146</v>
      </c>
      <c r="F32" s="36" t="s">
        <v>148</v>
      </c>
      <c r="G32" s="33">
        <v>0</v>
      </c>
      <c r="H32" s="24" t="s">
        <v>146</v>
      </c>
    </row>
    <row r="33" spans="1:8" x14ac:dyDescent="0.2">
      <c r="A33" s="25"/>
      <c r="B33" s="25"/>
      <c r="C33" s="34"/>
      <c r="D33" s="25"/>
      <c r="E33" s="25"/>
      <c r="F33" s="35"/>
      <c r="G33" s="35"/>
      <c r="H33" s="24" t="s">
        <v>146</v>
      </c>
    </row>
    <row r="34" spans="1:8" x14ac:dyDescent="0.2">
      <c r="A34" s="25"/>
      <c r="B34" s="25"/>
      <c r="C34" s="26" t="s">
        <v>149</v>
      </c>
      <c r="D34" s="25"/>
      <c r="E34" s="25"/>
      <c r="F34" s="25"/>
      <c r="G34" s="25"/>
      <c r="H34" s="24" t="s">
        <v>146</v>
      </c>
    </row>
    <row r="35" spans="1:8" x14ac:dyDescent="0.2">
      <c r="A35" s="25"/>
      <c r="B35" s="25"/>
      <c r="C35" s="26" t="s">
        <v>145</v>
      </c>
      <c r="D35" s="25"/>
      <c r="E35" s="25" t="s">
        <v>146</v>
      </c>
      <c r="F35" s="36" t="s">
        <v>148</v>
      </c>
      <c r="G35" s="33">
        <v>0</v>
      </c>
      <c r="H35" s="24" t="s">
        <v>146</v>
      </c>
    </row>
    <row r="36" spans="1:8" x14ac:dyDescent="0.2">
      <c r="A36" s="25"/>
      <c r="B36" s="25"/>
      <c r="C36" s="34"/>
      <c r="D36" s="25"/>
      <c r="E36" s="25"/>
      <c r="F36" s="35"/>
      <c r="G36" s="35"/>
      <c r="H36" s="24" t="s">
        <v>146</v>
      </c>
    </row>
    <row r="37" spans="1:8" x14ac:dyDescent="0.2">
      <c r="A37" s="25"/>
      <c r="B37" s="25"/>
      <c r="C37" s="26" t="s">
        <v>150</v>
      </c>
      <c r="D37" s="25"/>
      <c r="E37" s="25"/>
      <c r="F37" s="25"/>
      <c r="G37" s="25"/>
      <c r="H37" s="24" t="s">
        <v>146</v>
      </c>
    </row>
    <row r="38" spans="1:8" x14ac:dyDescent="0.2">
      <c r="A38" s="25"/>
      <c r="B38" s="25"/>
      <c r="C38" s="26" t="s">
        <v>145</v>
      </c>
      <c r="D38" s="25"/>
      <c r="E38" s="25" t="s">
        <v>146</v>
      </c>
      <c r="F38" s="36" t="s">
        <v>148</v>
      </c>
      <c r="G38" s="33">
        <v>0</v>
      </c>
      <c r="H38" s="24" t="s">
        <v>146</v>
      </c>
    </row>
    <row r="39" spans="1:8" x14ac:dyDescent="0.2">
      <c r="A39" s="25"/>
      <c r="B39" s="25"/>
      <c r="C39" s="34"/>
      <c r="D39" s="25"/>
      <c r="E39" s="25"/>
      <c r="F39" s="35"/>
      <c r="G39" s="35"/>
      <c r="H39" s="24" t="s">
        <v>146</v>
      </c>
    </row>
    <row r="40" spans="1:8" x14ac:dyDescent="0.2">
      <c r="A40" s="25"/>
      <c r="B40" s="25"/>
      <c r="C40" s="26" t="s">
        <v>151</v>
      </c>
      <c r="D40" s="25"/>
      <c r="E40" s="25"/>
      <c r="F40" s="35"/>
      <c r="G40" s="35"/>
      <c r="H40" s="24" t="s">
        <v>146</v>
      </c>
    </row>
    <row r="41" spans="1:8" x14ac:dyDescent="0.2">
      <c r="A41" s="25"/>
      <c r="B41" s="25"/>
      <c r="C41" s="26" t="s">
        <v>145</v>
      </c>
      <c r="D41" s="25"/>
      <c r="E41" s="25" t="s">
        <v>146</v>
      </c>
      <c r="F41" s="36" t="s">
        <v>148</v>
      </c>
      <c r="G41" s="33">
        <v>0</v>
      </c>
      <c r="H41" s="24" t="s">
        <v>146</v>
      </c>
    </row>
    <row r="42" spans="1:8" x14ac:dyDescent="0.2">
      <c r="A42" s="25"/>
      <c r="B42" s="25"/>
      <c r="C42" s="34"/>
      <c r="D42" s="25"/>
      <c r="E42" s="25"/>
      <c r="F42" s="35"/>
      <c r="G42" s="35"/>
      <c r="H42" s="24" t="s">
        <v>146</v>
      </c>
    </row>
    <row r="43" spans="1:8" x14ac:dyDescent="0.2">
      <c r="A43" s="25"/>
      <c r="B43" s="25"/>
      <c r="C43" s="26" t="s">
        <v>152</v>
      </c>
      <c r="D43" s="25"/>
      <c r="E43" s="25"/>
      <c r="F43" s="35"/>
      <c r="G43" s="35"/>
      <c r="H43" s="24" t="s">
        <v>146</v>
      </c>
    </row>
    <row r="44" spans="1:8" x14ac:dyDescent="0.2">
      <c r="A44" s="27">
        <v>1</v>
      </c>
      <c r="B44" s="28"/>
      <c r="C44" s="28" t="s">
        <v>882</v>
      </c>
      <c r="D44" s="28" t="s">
        <v>519</v>
      </c>
      <c r="E44" s="29">
        <v>60600</v>
      </c>
      <c r="F44" s="30">
        <v>1357.8339000000001</v>
      </c>
      <c r="G44" s="31">
        <v>9.7971499999999993E-3</v>
      </c>
      <c r="H44" s="24" t="s">
        <v>146</v>
      </c>
    </row>
    <row r="45" spans="1:8" x14ac:dyDescent="0.2">
      <c r="A45" s="25"/>
      <c r="B45" s="25"/>
      <c r="C45" s="26" t="s">
        <v>145</v>
      </c>
      <c r="D45" s="25"/>
      <c r="E45" s="25" t="s">
        <v>146</v>
      </c>
      <c r="F45" s="32">
        <v>1357.8339000000001</v>
      </c>
      <c r="G45" s="33">
        <v>9.7971499999999993E-3</v>
      </c>
      <c r="H45" s="24" t="s">
        <v>146</v>
      </c>
    </row>
    <row r="46" spans="1:8" x14ac:dyDescent="0.2">
      <c r="A46" s="25"/>
      <c r="B46" s="25"/>
      <c r="C46" s="34"/>
      <c r="D46" s="25"/>
      <c r="E46" s="25"/>
      <c r="F46" s="35"/>
      <c r="G46" s="35"/>
      <c r="H46" s="24" t="s">
        <v>146</v>
      </c>
    </row>
    <row r="47" spans="1:8" x14ac:dyDescent="0.2">
      <c r="A47" s="25"/>
      <c r="B47" s="25"/>
      <c r="C47" s="26" t="s">
        <v>153</v>
      </c>
      <c r="D47" s="25"/>
      <c r="E47" s="25"/>
      <c r="F47" s="32">
        <f>F45+F29</f>
        <v>132175.40169709999</v>
      </c>
      <c r="G47" s="33">
        <f>G45+G29</f>
        <v>0.95368155000000021</v>
      </c>
      <c r="H47" s="24" t="s">
        <v>146</v>
      </c>
    </row>
    <row r="48" spans="1:8" x14ac:dyDescent="0.2">
      <c r="A48" s="25"/>
      <c r="B48" s="25"/>
      <c r="C48" s="34"/>
      <c r="D48" s="25"/>
      <c r="E48" s="25"/>
      <c r="F48" s="35"/>
      <c r="G48" s="35"/>
      <c r="H48" s="24" t="s">
        <v>146</v>
      </c>
    </row>
    <row r="49" spans="1:8" x14ac:dyDescent="0.2">
      <c r="A49" s="25"/>
      <c r="B49" s="25"/>
      <c r="C49" s="26" t="s">
        <v>154</v>
      </c>
      <c r="D49" s="25"/>
      <c r="E49" s="25"/>
      <c r="F49" s="35"/>
      <c r="G49" s="35"/>
      <c r="H49" s="24" t="s">
        <v>146</v>
      </c>
    </row>
    <row r="50" spans="1:8" x14ac:dyDescent="0.2">
      <c r="A50" s="25"/>
      <c r="B50" s="25"/>
      <c r="C50" s="26" t="s">
        <v>10</v>
      </c>
      <c r="D50" s="25"/>
      <c r="E50" s="25"/>
      <c r="F50" s="35"/>
      <c r="G50" s="35"/>
      <c r="H50" s="24" t="s">
        <v>146</v>
      </c>
    </row>
    <row r="51" spans="1:8" x14ac:dyDescent="0.2">
      <c r="A51" s="25"/>
      <c r="B51" s="25"/>
      <c r="C51" s="26" t="s">
        <v>145</v>
      </c>
      <c r="D51" s="25"/>
      <c r="E51" s="25" t="s">
        <v>146</v>
      </c>
      <c r="F51" s="36" t="s">
        <v>148</v>
      </c>
      <c r="G51" s="33">
        <v>0</v>
      </c>
      <c r="H51" s="24" t="s">
        <v>146</v>
      </c>
    </row>
    <row r="52" spans="1:8" x14ac:dyDescent="0.2">
      <c r="A52" s="25"/>
      <c r="B52" s="25"/>
      <c r="C52" s="34"/>
      <c r="D52" s="25"/>
      <c r="E52" s="25"/>
      <c r="F52" s="35"/>
      <c r="G52" s="35"/>
      <c r="H52" s="24" t="s">
        <v>146</v>
      </c>
    </row>
    <row r="53" spans="1:8" x14ac:dyDescent="0.2">
      <c r="A53" s="25"/>
      <c r="B53" s="25"/>
      <c r="C53" s="26" t="s">
        <v>155</v>
      </c>
      <c r="D53" s="25"/>
      <c r="E53" s="25"/>
      <c r="F53" s="25"/>
      <c r="G53" s="25"/>
      <c r="H53" s="24" t="s">
        <v>146</v>
      </c>
    </row>
    <row r="54" spans="1:8" x14ac:dyDescent="0.2">
      <c r="A54" s="25"/>
      <c r="B54" s="25"/>
      <c r="C54" s="26" t="s">
        <v>145</v>
      </c>
      <c r="D54" s="25"/>
      <c r="E54" s="25" t="s">
        <v>146</v>
      </c>
      <c r="F54" s="36" t="s">
        <v>148</v>
      </c>
      <c r="G54" s="33">
        <v>0</v>
      </c>
      <c r="H54" s="24" t="s">
        <v>146</v>
      </c>
    </row>
    <row r="55" spans="1:8" x14ac:dyDescent="0.2">
      <c r="A55" s="25"/>
      <c r="B55" s="25"/>
      <c r="C55" s="34"/>
      <c r="D55" s="25"/>
      <c r="E55" s="25"/>
      <c r="F55" s="35"/>
      <c r="G55" s="35"/>
      <c r="H55" s="24" t="s">
        <v>146</v>
      </c>
    </row>
    <row r="56" spans="1:8" x14ac:dyDescent="0.2">
      <c r="A56" s="25"/>
      <c r="B56" s="25"/>
      <c r="C56" s="26" t="s">
        <v>156</v>
      </c>
      <c r="D56" s="25"/>
      <c r="E56" s="25"/>
      <c r="F56" s="25"/>
      <c r="G56" s="25"/>
      <c r="H56" s="24" t="s">
        <v>146</v>
      </c>
    </row>
    <row r="57" spans="1:8" x14ac:dyDescent="0.2">
      <c r="A57" s="25"/>
      <c r="B57" s="25"/>
      <c r="C57" s="26" t="s">
        <v>145</v>
      </c>
      <c r="D57" s="25"/>
      <c r="E57" s="25" t="s">
        <v>146</v>
      </c>
      <c r="F57" s="36" t="s">
        <v>148</v>
      </c>
      <c r="G57" s="33">
        <v>0</v>
      </c>
      <c r="H57" s="24" t="s">
        <v>146</v>
      </c>
    </row>
    <row r="58" spans="1:8" x14ac:dyDescent="0.2">
      <c r="A58" s="25"/>
      <c r="B58" s="25"/>
      <c r="C58" s="34"/>
      <c r="D58" s="25"/>
      <c r="E58" s="25"/>
      <c r="F58" s="35"/>
      <c r="G58" s="35"/>
      <c r="H58" s="24" t="s">
        <v>146</v>
      </c>
    </row>
    <row r="59" spans="1:8" x14ac:dyDescent="0.2">
      <c r="A59" s="25"/>
      <c r="B59" s="25"/>
      <c r="C59" s="26" t="s">
        <v>157</v>
      </c>
      <c r="D59" s="25"/>
      <c r="E59" s="25"/>
      <c r="F59" s="35"/>
      <c r="G59" s="35"/>
      <c r="H59" s="24" t="s">
        <v>146</v>
      </c>
    </row>
    <row r="60" spans="1:8" x14ac:dyDescent="0.2">
      <c r="A60" s="25"/>
      <c r="B60" s="25"/>
      <c r="C60" s="26" t="s">
        <v>145</v>
      </c>
      <c r="D60" s="25"/>
      <c r="E60" s="25" t="s">
        <v>146</v>
      </c>
      <c r="F60" s="36" t="s">
        <v>148</v>
      </c>
      <c r="G60" s="33">
        <v>0</v>
      </c>
      <c r="H60" s="24" t="s">
        <v>146</v>
      </c>
    </row>
    <row r="61" spans="1:8" x14ac:dyDescent="0.2">
      <c r="A61" s="25"/>
      <c r="B61" s="25"/>
      <c r="C61" s="34"/>
      <c r="D61" s="25"/>
      <c r="E61" s="25"/>
      <c r="F61" s="35"/>
      <c r="G61" s="35"/>
      <c r="H61" s="24" t="s">
        <v>146</v>
      </c>
    </row>
    <row r="62" spans="1:8" x14ac:dyDescent="0.2">
      <c r="A62" s="25"/>
      <c r="B62" s="25"/>
      <c r="C62" s="26" t="s">
        <v>158</v>
      </c>
      <c r="D62" s="25"/>
      <c r="E62" s="25"/>
      <c r="F62" s="32">
        <v>0</v>
      </c>
      <c r="G62" s="33">
        <v>0</v>
      </c>
      <c r="H62" s="24" t="s">
        <v>146</v>
      </c>
    </row>
    <row r="63" spans="1:8" x14ac:dyDescent="0.2">
      <c r="A63" s="25"/>
      <c r="B63" s="25"/>
      <c r="C63" s="34"/>
      <c r="D63" s="25"/>
      <c r="E63" s="25"/>
      <c r="F63" s="35"/>
      <c r="G63" s="35"/>
      <c r="H63" s="24" t="s">
        <v>146</v>
      </c>
    </row>
    <row r="64" spans="1:8" x14ac:dyDescent="0.2">
      <c r="A64" s="25"/>
      <c r="B64" s="25"/>
      <c r="C64" s="26" t="s">
        <v>159</v>
      </c>
      <c r="D64" s="25"/>
      <c r="E64" s="25"/>
      <c r="F64" s="35"/>
      <c r="G64" s="35"/>
      <c r="H64" s="24" t="s">
        <v>146</v>
      </c>
    </row>
    <row r="65" spans="1:8" x14ac:dyDescent="0.2">
      <c r="A65" s="25"/>
      <c r="B65" s="25"/>
      <c r="C65" s="26" t="s">
        <v>160</v>
      </c>
      <c r="D65" s="25"/>
      <c r="E65" s="25"/>
      <c r="F65" s="35"/>
      <c r="G65" s="35"/>
      <c r="H65" s="24" t="s">
        <v>146</v>
      </c>
    </row>
    <row r="66" spans="1:8" x14ac:dyDescent="0.2">
      <c r="A66" s="25"/>
      <c r="B66" s="25"/>
      <c r="C66" s="26" t="s">
        <v>145</v>
      </c>
      <c r="D66" s="25"/>
      <c r="E66" s="25" t="s">
        <v>146</v>
      </c>
      <c r="F66" s="36" t="s">
        <v>148</v>
      </c>
      <c r="G66" s="33">
        <v>0</v>
      </c>
      <c r="H66" s="24" t="s">
        <v>146</v>
      </c>
    </row>
    <row r="67" spans="1:8" x14ac:dyDescent="0.2">
      <c r="A67" s="25"/>
      <c r="B67" s="25"/>
      <c r="C67" s="34"/>
      <c r="D67" s="25"/>
      <c r="E67" s="25"/>
      <c r="F67" s="35"/>
      <c r="G67" s="35"/>
      <c r="H67" s="24" t="s">
        <v>146</v>
      </c>
    </row>
    <row r="68" spans="1:8" x14ac:dyDescent="0.2">
      <c r="A68" s="25"/>
      <c r="B68" s="25"/>
      <c r="C68" s="26" t="s">
        <v>161</v>
      </c>
      <c r="D68" s="25"/>
      <c r="E68" s="25"/>
      <c r="F68" s="35"/>
      <c r="G68" s="35"/>
      <c r="H68" s="24" t="s">
        <v>146</v>
      </c>
    </row>
    <row r="69" spans="1:8" x14ac:dyDescent="0.2">
      <c r="A69" s="25"/>
      <c r="B69" s="25"/>
      <c r="C69" s="26" t="s">
        <v>145</v>
      </c>
      <c r="D69" s="25"/>
      <c r="E69" s="25" t="s">
        <v>146</v>
      </c>
      <c r="F69" s="36" t="s">
        <v>148</v>
      </c>
      <c r="G69" s="33">
        <v>0</v>
      </c>
      <c r="H69" s="24" t="s">
        <v>146</v>
      </c>
    </row>
    <row r="70" spans="1:8" x14ac:dyDescent="0.2">
      <c r="A70" s="25"/>
      <c r="B70" s="25"/>
      <c r="C70" s="34"/>
      <c r="D70" s="25"/>
      <c r="E70" s="25"/>
      <c r="F70" s="35"/>
      <c r="G70" s="35"/>
      <c r="H70" s="24" t="s">
        <v>146</v>
      </c>
    </row>
    <row r="71" spans="1:8" x14ac:dyDescent="0.2">
      <c r="A71" s="25"/>
      <c r="B71" s="25"/>
      <c r="C71" s="26" t="s">
        <v>162</v>
      </c>
      <c r="D71" s="25"/>
      <c r="E71" s="25"/>
      <c r="F71" s="35"/>
      <c r="G71" s="35"/>
      <c r="H71" s="24" t="s">
        <v>146</v>
      </c>
    </row>
    <row r="72" spans="1:8" x14ac:dyDescent="0.2">
      <c r="A72" s="27">
        <v>1</v>
      </c>
      <c r="B72" s="28" t="s">
        <v>663</v>
      </c>
      <c r="C72" s="28" t="s">
        <v>1085</v>
      </c>
      <c r="D72" s="28" t="s">
        <v>521</v>
      </c>
      <c r="E72" s="29">
        <v>1500000</v>
      </c>
      <c r="F72" s="30">
        <v>1442.1524999999999</v>
      </c>
      <c r="G72" s="31">
        <v>1.040554E-2</v>
      </c>
      <c r="H72" s="24">
        <v>6.5949999999999998</v>
      </c>
    </row>
    <row r="73" spans="1:8" x14ac:dyDescent="0.2">
      <c r="A73" s="25"/>
      <c r="B73" s="25"/>
      <c r="C73" s="26" t="s">
        <v>145</v>
      </c>
      <c r="D73" s="25"/>
      <c r="E73" s="25" t="s">
        <v>146</v>
      </c>
      <c r="F73" s="32">
        <v>1442.1524999999999</v>
      </c>
      <c r="G73" s="33">
        <v>1.040554E-2</v>
      </c>
      <c r="H73" s="24" t="s">
        <v>146</v>
      </c>
    </row>
    <row r="74" spans="1:8" x14ac:dyDescent="0.2">
      <c r="A74" s="25"/>
      <c r="B74" s="25"/>
      <c r="C74" s="34"/>
      <c r="D74" s="25"/>
      <c r="E74" s="25"/>
      <c r="F74" s="35"/>
      <c r="G74" s="35"/>
      <c r="H74" s="24" t="s">
        <v>146</v>
      </c>
    </row>
    <row r="75" spans="1:8" x14ac:dyDescent="0.2">
      <c r="A75" s="25"/>
      <c r="B75" s="25"/>
      <c r="C75" s="26" t="s">
        <v>163</v>
      </c>
      <c r="D75" s="25"/>
      <c r="E75" s="25"/>
      <c r="F75" s="35"/>
      <c r="G75" s="35"/>
      <c r="H75" s="24" t="s">
        <v>146</v>
      </c>
    </row>
    <row r="76" spans="1:8" x14ac:dyDescent="0.2">
      <c r="A76" s="27">
        <v>1</v>
      </c>
      <c r="B76" s="28"/>
      <c r="C76" s="28" t="s">
        <v>164</v>
      </c>
      <c r="D76" s="28"/>
      <c r="E76" s="38"/>
      <c r="F76" s="30">
        <v>5988.4480909220001</v>
      </c>
      <c r="G76" s="31">
        <v>4.3208330000000003E-2</v>
      </c>
      <c r="H76" s="24">
        <v>6.57</v>
      </c>
    </row>
    <row r="77" spans="1:8" x14ac:dyDescent="0.2">
      <c r="A77" s="25"/>
      <c r="B77" s="25"/>
      <c r="C77" s="26" t="s">
        <v>145</v>
      </c>
      <c r="D77" s="25"/>
      <c r="E77" s="25" t="s">
        <v>146</v>
      </c>
      <c r="F77" s="32">
        <v>5988.4480909220001</v>
      </c>
      <c r="G77" s="33">
        <v>4.3208330000000003E-2</v>
      </c>
      <c r="H77" s="24" t="s">
        <v>146</v>
      </c>
    </row>
    <row r="78" spans="1:8" x14ac:dyDescent="0.2">
      <c r="A78" s="25"/>
      <c r="B78" s="25"/>
      <c r="C78" s="34"/>
      <c r="D78" s="25"/>
      <c r="E78" s="25"/>
      <c r="F78" s="35"/>
      <c r="G78" s="35"/>
      <c r="H78" s="24" t="s">
        <v>146</v>
      </c>
    </row>
    <row r="79" spans="1:8" x14ac:dyDescent="0.2">
      <c r="A79" s="25"/>
      <c r="B79" s="25"/>
      <c r="C79" s="26" t="s">
        <v>165</v>
      </c>
      <c r="D79" s="25"/>
      <c r="E79" s="25"/>
      <c r="F79" s="32">
        <v>7430.6005909220003</v>
      </c>
      <c r="G79" s="33">
        <v>5.3613870000000001E-2</v>
      </c>
      <c r="H79" s="24" t="s">
        <v>146</v>
      </c>
    </row>
    <row r="80" spans="1:8" x14ac:dyDescent="0.2">
      <c r="A80" s="25"/>
      <c r="B80" s="25"/>
      <c r="C80" s="35"/>
      <c r="D80" s="25"/>
      <c r="E80" s="25"/>
      <c r="F80" s="25"/>
      <c r="G80" s="25"/>
      <c r="H80" s="24" t="s">
        <v>146</v>
      </c>
    </row>
    <row r="81" spans="1:10" x14ac:dyDescent="0.2">
      <c r="A81" s="25"/>
      <c r="B81" s="25"/>
      <c r="C81" s="26" t="s">
        <v>166</v>
      </c>
      <c r="D81" s="25"/>
      <c r="E81" s="25"/>
      <c r="F81" s="25"/>
      <c r="G81" s="25"/>
      <c r="H81" s="24" t="s">
        <v>146</v>
      </c>
    </row>
    <row r="82" spans="1:10" x14ac:dyDescent="0.2">
      <c r="A82" s="25"/>
      <c r="B82" s="25"/>
      <c r="C82" s="26" t="s">
        <v>167</v>
      </c>
      <c r="D82" s="25"/>
      <c r="E82" s="25"/>
      <c r="F82" s="25"/>
      <c r="G82" s="25"/>
      <c r="H82" s="24" t="s">
        <v>146</v>
      </c>
    </row>
    <row r="83" spans="1:10" x14ac:dyDescent="0.2">
      <c r="A83" s="25"/>
      <c r="B83" s="25"/>
      <c r="C83" s="26" t="s">
        <v>145</v>
      </c>
      <c r="D83" s="25"/>
      <c r="E83" s="25" t="s">
        <v>146</v>
      </c>
      <c r="F83" s="36" t="s">
        <v>148</v>
      </c>
      <c r="G83" s="33">
        <v>0</v>
      </c>
      <c r="H83" s="24" t="s">
        <v>146</v>
      </c>
    </row>
    <row r="84" spans="1:10" x14ac:dyDescent="0.2">
      <c r="A84" s="25"/>
      <c r="B84" s="25"/>
      <c r="C84" s="34"/>
      <c r="D84" s="25"/>
      <c r="E84" s="25"/>
      <c r="F84" s="35"/>
      <c r="G84" s="35"/>
      <c r="H84" s="24" t="s">
        <v>146</v>
      </c>
    </row>
    <row r="85" spans="1:10" x14ac:dyDescent="0.2">
      <c r="A85" s="25"/>
      <c r="B85" s="25"/>
      <c r="C85" s="26" t="s">
        <v>168</v>
      </c>
      <c r="D85" s="25"/>
      <c r="E85" s="25"/>
      <c r="F85" s="25"/>
      <c r="G85" s="25"/>
      <c r="H85" s="24" t="s">
        <v>146</v>
      </c>
    </row>
    <row r="86" spans="1:10" x14ac:dyDescent="0.2">
      <c r="A86" s="25"/>
      <c r="B86" s="25"/>
      <c r="C86" s="26" t="s">
        <v>169</v>
      </c>
      <c r="D86" s="25"/>
      <c r="E86" s="25"/>
      <c r="F86" s="25"/>
      <c r="G86" s="25"/>
      <c r="H86" s="24" t="s">
        <v>146</v>
      </c>
    </row>
    <row r="87" spans="1:10" x14ac:dyDescent="0.2">
      <c r="A87" s="25"/>
      <c r="B87" s="25"/>
      <c r="C87" s="26" t="s">
        <v>145</v>
      </c>
      <c r="D87" s="25"/>
      <c r="E87" s="25" t="s">
        <v>146</v>
      </c>
      <c r="F87" s="36" t="s">
        <v>148</v>
      </c>
      <c r="G87" s="33">
        <v>0</v>
      </c>
      <c r="H87" s="24" t="s">
        <v>146</v>
      </c>
    </row>
    <row r="88" spans="1:10" x14ac:dyDescent="0.2">
      <c r="A88" s="25"/>
      <c r="B88" s="25"/>
      <c r="C88" s="34"/>
      <c r="D88" s="25"/>
      <c r="E88" s="25"/>
      <c r="F88" s="35"/>
      <c r="G88" s="35"/>
      <c r="H88" s="24" t="s">
        <v>146</v>
      </c>
    </row>
    <row r="89" spans="1:10" x14ac:dyDescent="0.2">
      <c r="A89" s="25"/>
      <c r="B89" s="25"/>
      <c r="C89" s="26" t="s">
        <v>170</v>
      </c>
      <c r="D89" s="25"/>
      <c r="E89" s="25"/>
      <c r="F89" s="35"/>
      <c r="G89" s="35"/>
      <c r="H89" s="24" t="s">
        <v>146</v>
      </c>
    </row>
    <row r="90" spans="1:10" x14ac:dyDescent="0.2">
      <c r="A90" s="25"/>
      <c r="B90" s="25"/>
      <c r="C90" s="26" t="s">
        <v>145</v>
      </c>
      <c r="D90" s="25"/>
      <c r="E90" s="25" t="s">
        <v>146</v>
      </c>
      <c r="F90" s="36" t="s">
        <v>148</v>
      </c>
      <c r="G90" s="33">
        <v>0</v>
      </c>
      <c r="H90" s="24" t="s">
        <v>146</v>
      </c>
    </row>
    <row r="91" spans="1:10" x14ac:dyDescent="0.2">
      <c r="A91" s="25"/>
      <c r="B91" s="25"/>
      <c r="C91" s="34"/>
      <c r="D91" s="25"/>
      <c r="E91" s="25"/>
      <c r="F91" s="35"/>
      <c r="G91" s="35"/>
      <c r="H91" s="24" t="s">
        <v>146</v>
      </c>
    </row>
    <row r="92" spans="1:10" x14ac:dyDescent="0.2">
      <c r="A92" s="38"/>
      <c r="B92" s="28"/>
      <c r="C92" s="28" t="s">
        <v>522</v>
      </c>
      <c r="D92" s="28"/>
      <c r="E92" s="38"/>
      <c r="F92" s="30">
        <v>597.96995600000002</v>
      </c>
      <c r="G92" s="31">
        <v>4.3145199999999996E-3</v>
      </c>
      <c r="H92" s="24" t="s">
        <v>146</v>
      </c>
    </row>
    <row r="93" spans="1:10" x14ac:dyDescent="0.2">
      <c r="A93" s="38"/>
      <c r="B93" s="28"/>
      <c r="C93" s="37" t="s">
        <v>884</v>
      </c>
      <c r="D93" s="28"/>
      <c r="E93" s="38"/>
      <c r="F93" s="30">
        <f>-1609.21844914</f>
        <v>-1609.2184491400001</v>
      </c>
      <c r="G93" s="31">
        <f>F93/F94</f>
        <v>-1.1610962212333214E-2</v>
      </c>
      <c r="H93" s="24" t="s">
        <v>146</v>
      </c>
    </row>
    <row r="94" spans="1:10" x14ac:dyDescent="0.2">
      <c r="A94" s="34"/>
      <c r="B94" s="34"/>
      <c r="C94" s="26" t="s">
        <v>172</v>
      </c>
      <c r="D94" s="35"/>
      <c r="E94" s="35"/>
      <c r="F94" s="32">
        <f>F93+F92+F79+F62+F47</f>
        <v>138594.75379488198</v>
      </c>
      <c r="G94" s="39">
        <f>G93+G92+G79+G62+G47</f>
        <v>0.999998977787667</v>
      </c>
      <c r="H94" s="24" t="s">
        <v>146</v>
      </c>
    </row>
    <row r="95" spans="1:10" x14ac:dyDescent="0.2">
      <c r="A95" s="40"/>
      <c r="B95" s="40"/>
      <c r="C95" s="40"/>
      <c r="D95" s="41"/>
      <c r="E95" s="41"/>
      <c r="F95" s="41"/>
      <c r="G95" s="41"/>
    </row>
    <row r="96" spans="1:10" x14ac:dyDescent="0.2">
      <c r="A96" s="42"/>
      <c r="B96" s="236" t="s">
        <v>858</v>
      </c>
      <c r="C96" s="236"/>
      <c r="D96" s="236"/>
      <c r="E96" s="236"/>
      <c r="F96" s="236"/>
      <c r="G96" s="236"/>
      <c r="H96" s="236"/>
      <c r="J96" s="44"/>
    </row>
    <row r="97" spans="1:17" x14ac:dyDescent="0.2">
      <c r="A97" s="42"/>
      <c r="B97" s="236" t="s">
        <v>859</v>
      </c>
      <c r="C97" s="236"/>
      <c r="D97" s="236"/>
      <c r="E97" s="236"/>
      <c r="F97" s="236"/>
      <c r="G97" s="236"/>
      <c r="H97" s="236"/>
      <c r="J97" s="44"/>
    </row>
    <row r="98" spans="1:17" x14ac:dyDescent="0.2">
      <c r="A98" s="42"/>
      <c r="B98" s="236" t="s">
        <v>860</v>
      </c>
      <c r="C98" s="236"/>
      <c r="D98" s="236"/>
      <c r="E98" s="236"/>
      <c r="F98" s="236"/>
      <c r="G98" s="236"/>
      <c r="H98" s="236"/>
      <c r="J98" s="44"/>
    </row>
    <row r="99" spans="1:17" s="46" customFormat="1" ht="65.25" customHeight="1" x14ac:dyDescent="0.25">
      <c r="A99" s="45"/>
      <c r="B99" s="237" t="s">
        <v>861</v>
      </c>
      <c r="C99" s="237"/>
      <c r="D99" s="237"/>
      <c r="E99" s="237"/>
      <c r="F99" s="237"/>
      <c r="G99" s="237"/>
      <c r="H99" s="237"/>
      <c r="I99"/>
      <c r="J99" s="44"/>
      <c r="K99"/>
      <c r="L99"/>
      <c r="M99"/>
      <c r="N99"/>
      <c r="O99"/>
      <c r="P99"/>
      <c r="Q99"/>
    </row>
    <row r="100" spans="1:17" x14ac:dyDescent="0.2">
      <c r="A100" s="42"/>
      <c r="B100" s="236" t="s">
        <v>862</v>
      </c>
      <c r="C100" s="236"/>
      <c r="D100" s="236"/>
      <c r="E100" s="236"/>
      <c r="F100" s="236"/>
      <c r="G100" s="236"/>
      <c r="H100" s="236"/>
      <c r="J100" s="44"/>
    </row>
    <row r="101" spans="1:17" x14ac:dyDescent="0.2">
      <c r="A101" s="47"/>
      <c r="B101" s="47"/>
      <c r="C101" s="47"/>
      <c r="D101" s="48"/>
      <c r="E101" s="48"/>
      <c r="F101" s="48"/>
      <c r="G101" s="48"/>
    </row>
    <row r="102" spans="1:17" x14ac:dyDescent="0.2">
      <c r="A102" s="47"/>
      <c r="B102" s="233" t="s">
        <v>173</v>
      </c>
      <c r="C102" s="234"/>
      <c r="D102" s="235"/>
      <c r="E102" s="49"/>
      <c r="F102" s="48"/>
      <c r="G102" s="48"/>
    </row>
    <row r="103" spans="1:17" ht="26.25" customHeight="1" x14ac:dyDescent="0.2">
      <c r="A103" s="47"/>
      <c r="B103" s="231" t="s">
        <v>174</v>
      </c>
      <c r="C103" s="232"/>
      <c r="D103" s="26" t="s">
        <v>175</v>
      </c>
      <c r="E103" s="49"/>
      <c r="F103" s="48"/>
      <c r="G103" s="48"/>
    </row>
    <row r="104" spans="1:17" x14ac:dyDescent="0.2">
      <c r="A104" s="47"/>
      <c r="B104" s="231" t="s">
        <v>863</v>
      </c>
      <c r="C104" s="232"/>
      <c r="D104" s="26" t="s">
        <v>175</v>
      </c>
      <c r="E104" s="49"/>
      <c r="F104" s="48"/>
      <c r="G104" s="48"/>
    </row>
    <row r="105" spans="1:17" x14ac:dyDescent="0.2">
      <c r="A105" s="47"/>
      <c r="B105" s="231" t="s">
        <v>176</v>
      </c>
      <c r="C105" s="232"/>
      <c r="D105" s="35" t="s">
        <v>146</v>
      </c>
      <c r="E105" s="49"/>
      <c r="F105" s="48"/>
      <c r="G105" s="48"/>
    </row>
    <row r="106" spans="1:17" x14ac:dyDescent="0.2">
      <c r="A106" s="53"/>
      <c r="B106" s="54" t="s">
        <v>146</v>
      </c>
      <c r="C106" s="54" t="s">
        <v>864</v>
      </c>
      <c r="D106" s="54" t="s">
        <v>177</v>
      </c>
      <c r="E106" s="53"/>
      <c r="F106" s="53"/>
      <c r="G106" s="53"/>
      <c r="H106" s="44"/>
      <c r="J106" s="44"/>
    </row>
    <row r="107" spans="1:17" x14ac:dyDescent="0.2">
      <c r="A107" s="53"/>
      <c r="B107" s="55" t="s">
        <v>178</v>
      </c>
      <c r="C107" s="56">
        <v>45657</v>
      </c>
      <c r="D107" s="56">
        <v>45688</v>
      </c>
      <c r="E107" s="53"/>
      <c r="F107" s="53"/>
      <c r="G107" s="53"/>
      <c r="H107" s="44"/>
      <c r="J107" s="44"/>
    </row>
    <row r="108" spans="1:17" x14ac:dyDescent="0.2">
      <c r="A108" s="57"/>
      <c r="B108" s="28" t="s">
        <v>179</v>
      </c>
      <c r="C108" s="58">
        <v>105.35429999999999</v>
      </c>
      <c r="D108" s="58">
        <v>104.2236</v>
      </c>
      <c r="E108" s="57"/>
      <c r="F108" s="59"/>
      <c r="G108" s="60"/>
    </row>
    <row r="109" spans="1:17" x14ac:dyDescent="0.2">
      <c r="A109" s="57"/>
      <c r="B109" s="28" t="s">
        <v>1025</v>
      </c>
      <c r="C109" s="58">
        <v>33.202800000000003</v>
      </c>
      <c r="D109" s="58">
        <v>32.846499999999999</v>
      </c>
      <c r="E109" s="57"/>
      <c r="F109" s="59"/>
      <c r="G109" s="60"/>
    </row>
    <row r="110" spans="1:17" ht="25.5" x14ac:dyDescent="0.2">
      <c r="A110" s="57"/>
      <c r="B110" s="28" t="s">
        <v>839</v>
      </c>
      <c r="C110" s="58">
        <v>108.3235</v>
      </c>
      <c r="D110" s="137">
        <v>0</v>
      </c>
      <c r="E110" s="57"/>
      <c r="F110" s="59"/>
      <c r="G110" s="60"/>
    </row>
    <row r="111" spans="1:17" ht="25.5" x14ac:dyDescent="0.2">
      <c r="A111" s="57"/>
      <c r="B111" s="28" t="s">
        <v>1031</v>
      </c>
      <c r="C111" s="58">
        <v>33.776299999999999</v>
      </c>
      <c r="D111" s="137">
        <v>0</v>
      </c>
      <c r="E111" s="57"/>
      <c r="F111" s="59"/>
      <c r="G111" s="60"/>
    </row>
    <row r="112" spans="1:17" x14ac:dyDescent="0.2">
      <c r="A112" s="57"/>
      <c r="B112" s="28" t="s">
        <v>180</v>
      </c>
      <c r="C112" s="58">
        <v>94.035300000000007</v>
      </c>
      <c r="D112" s="58">
        <v>92.920400000000001</v>
      </c>
      <c r="E112" s="57"/>
      <c r="F112" s="59"/>
      <c r="G112" s="60"/>
    </row>
    <row r="113" spans="1:7" x14ac:dyDescent="0.2">
      <c r="A113" s="57"/>
      <c r="B113" s="28" t="s">
        <v>1026</v>
      </c>
      <c r="C113" s="58">
        <v>29.151900000000001</v>
      </c>
      <c r="D113" s="58">
        <v>28.8063</v>
      </c>
      <c r="E113" s="57"/>
      <c r="F113" s="59"/>
      <c r="G113" s="60"/>
    </row>
    <row r="114" spans="1:7" x14ac:dyDescent="0.2">
      <c r="A114" s="57"/>
      <c r="B114" s="57"/>
      <c r="C114" s="57"/>
      <c r="D114" s="57"/>
      <c r="E114" s="57"/>
      <c r="F114" s="57"/>
      <c r="G114" s="57"/>
    </row>
    <row r="115" spans="1:7" x14ac:dyDescent="0.2">
      <c r="A115" s="53"/>
      <c r="B115" s="227" t="s">
        <v>865</v>
      </c>
      <c r="C115" s="228"/>
      <c r="D115" s="50" t="s">
        <v>175</v>
      </c>
      <c r="E115" s="53"/>
      <c r="F115" s="53"/>
      <c r="G115" s="53"/>
    </row>
    <row r="116" spans="1:7" x14ac:dyDescent="0.2">
      <c r="A116" s="53"/>
      <c r="B116" s="74"/>
      <c r="C116" s="74"/>
      <c r="D116" s="74"/>
      <c r="E116" s="53"/>
      <c r="F116" s="53"/>
      <c r="G116" s="53"/>
    </row>
    <row r="117" spans="1:7" ht="27" customHeight="1" x14ac:dyDescent="0.2">
      <c r="A117" s="53"/>
      <c r="B117" s="227" t="s">
        <v>181</v>
      </c>
      <c r="C117" s="228"/>
      <c r="D117" s="50" t="s">
        <v>1095</v>
      </c>
      <c r="E117" s="64"/>
      <c r="F117" s="53"/>
      <c r="G117" s="53"/>
    </row>
    <row r="118" spans="1:7" ht="24.75" customHeight="1" x14ac:dyDescent="0.2">
      <c r="A118" s="53"/>
      <c r="B118" s="227" t="s">
        <v>182</v>
      </c>
      <c r="C118" s="228"/>
      <c r="D118" s="50" t="s">
        <v>175</v>
      </c>
      <c r="E118" s="64"/>
      <c r="F118" s="53"/>
      <c r="G118" s="53"/>
    </row>
    <row r="119" spans="1:7" x14ac:dyDescent="0.2">
      <c r="A119" s="53"/>
      <c r="B119" s="227" t="s">
        <v>183</v>
      </c>
      <c r="C119" s="228"/>
      <c r="D119" s="50" t="s">
        <v>175</v>
      </c>
      <c r="E119" s="64"/>
      <c r="F119" s="53"/>
      <c r="G119" s="53"/>
    </row>
    <row r="120" spans="1:7" x14ac:dyDescent="0.2">
      <c r="A120" s="53"/>
      <c r="B120" s="227" t="s">
        <v>184</v>
      </c>
      <c r="C120" s="228"/>
      <c r="D120" s="65">
        <v>0.80519916399502545</v>
      </c>
      <c r="E120" s="53"/>
      <c r="F120" s="43"/>
      <c r="G120" s="63"/>
    </row>
    <row r="122" spans="1:7" x14ac:dyDescent="0.2">
      <c r="B122" s="229" t="s">
        <v>866</v>
      </c>
      <c r="C122" s="229"/>
    </row>
    <row r="124" spans="1:7" ht="153.75" customHeight="1" x14ac:dyDescent="0.2"/>
    <row r="127" spans="1:7" x14ac:dyDescent="0.2">
      <c r="B127" s="66" t="s">
        <v>867</v>
      </c>
      <c r="C127" s="67"/>
      <c r="D127" s="66"/>
    </row>
    <row r="128" spans="1:7" x14ac:dyDescent="0.2">
      <c r="B128" s="66" t="s">
        <v>1019</v>
      </c>
      <c r="D128" s="66"/>
    </row>
    <row r="129" customFormat="1" ht="165" customHeight="1" x14ac:dyDescent="0.2"/>
  </sheetData>
  <mergeCells count="18">
    <mergeCell ref="A1:H1"/>
    <mergeCell ref="A2:H2"/>
    <mergeCell ref="A3:H3"/>
    <mergeCell ref="B104:C104"/>
    <mergeCell ref="B105:C105"/>
    <mergeCell ref="B102:D102"/>
    <mergeCell ref="B103:C103"/>
    <mergeCell ref="B96:H96"/>
    <mergeCell ref="B97:H97"/>
    <mergeCell ref="B98:H98"/>
    <mergeCell ref="B99:H99"/>
    <mergeCell ref="B100:H100"/>
    <mergeCell ref="B117:C117"/>
    <mergeCell ref="B118:C118"/>
    <mergeCell ref="B122:C122"/>
    <mergeCell ref="B115:C115"/>
    <mergeCell ref="B119:C119"/>
    <mergeCell ref="B120:C120"/>
  </mergeCells>
  <hyperlinks>
    <hyperlink ref="I1" location="Index!B2" display="Index" xr:uid="{FDD9FB6F-A698-4F50-A44A-51FC1A3AF5D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8DC3E-D1E2-4266-8341-75B01A4C9FEC}">
  <sheetPr>
    <outlinePr summaryBelow="0" summaryRight="0"/>
  </sheetPr>
  <dimension ref="A1:Q208"/>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3.570312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840</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327</v>
      </c>
      <c r="C7" s="28" t="s">
        <v>328</v>
      </c>
      <c r="D7" s="28" t="s">
        <v>33</v>
      </c>
      <c r="E7" s="29">
        <v>595692</v>
      </c>
      <c r="F7" s="30">
        <v>10119.317849999999</v>
      </c>
      <c r="G7" s="31">
        <v>4.1277630000000003E-2</v>
      </c>
      <c r="H7" s="24" t="s">
        <v>146</v>
      </c>
    </row>
    <row r="8" spans="1:9" x14ac:dyDescent="0.2">
      <c r="A8" s="27">
        <v>2</v>
      </c>
      <c r="B8" s="28" t="s">
        <v>14</v>
      </c>
      <c r="C8" s="28" t="s">
        <v>15</v>
      </c>
      <c r="D8" s="28" t="s">
        <v>16</v>
      </c>
      <c r="E8" s="29">
        <v>767214</v>
      </c>
      <c r="F8" s="30">
        <v>9706.0243140000002</v>
      </c>
      <c r="G8" s="31">
        <v>3.9591769999999998E-2</v>
      </c>
      <c r="H8" s="24" t="s">
        <v>146</v>
      </c>
    </row>
    <row r="9" spans="1:9" x14ac:dyDescent="0.2">
      <c r="A9" s="27">
        <v>3</v>
      </c>
      <c r="B9" s="28" t="s">
        <v>329</v>
      </c>
      <c r="C9" s="28" t="s">
        <v>330</v>
      </c>
      <c r="D9" s="28" t="s">
        <v>195</v>
      </c>
      <c r="E9" s="29">
        <v>487788</v>
      </c>
      <c r="F9" s="30">
        <v>9169.4388240000007</v>
      </c>
      <c r="G9" s="31">
        <v>3.7402989999999997E-2</v>
      </c>
      <c r="H9" s="24" t="s">
        <v>146</v>
      </c>
    </row>
    <row r="10" spans="1:9" x14ac:dyDescent="0.2">
      <c r="A10" s="27">
        <v>4</v>
      </c>
      <c r="B10" s="28" t="s">
        <v>532</v>
      </c>
      <c r="C10" s="28" t="s">
        <v>533</v>
      </c>
      <c r="D10" s="28" t="s">
        <v>275</v>
      </c>
      <c r="E10" s="29">
        <v>290993</v>
      </c>
      <c r="F10" s="30">
        <v>8700.2542104999993</v>
      </c>
      <c r="G10" s="31">
        <v>3.5489140000000002E-2</v>
      </c>
      <c r="H10" s="24" t="s">
        <v>146</v>
      </c>
    </row>
    <row r="11" spans="1:9" x14ac:dyDescent="0.2">
      <c r="A11" s="27">
        <v>5</v>
      </c>
      <c r="B11" s="28" t="s">
        <v>17</v>
      </c>
      <c r="C11" s="28" t="s">
        <v>18</v>
      </c>
      <c r="D11" s="28" t="s">
        <v>19</v>
      </c>
      <c r="E11" s="29">
        <v>529709</v>
      </c>
      <c r="F11" s="30">
        <v>8614.6574670000009</v>
      </c>
      <c r="G11" s="31">
        <v>3.5139980000000001E-2</v>
      </c>
      <c r="H11" s="24" t="s">
        <v>146</v>
      </c>
    </row>
    <row r="12" spans="1:9" x14ac:dyDescent="0.2">
      <c r="A12" s="27">
        <v>6</v>
      </c>
      <c r="B12" s="28" t="s">
        <v>11</v>
      </c>
      <c r="C12" s="28" t="s">
        <v>12</v>
      </c>
      <c r="D12" s="28" t="s">
        <v>13</v>
      </c>
      <c r="E12" s="29">
        <v>212643</v>
      </c>
      <c r="F12" s="30">
        <v>7585.8263820000002</v>
      </c>
      <c r="G12" s="31">
        <v>3.0943289999999998E-2</v>
      </c>
      <c r="H12" s="24" t="s">
        <v>146</v>
      </c>
    </row>
    <row r="13" spans="1:9" x14ac:dyDescent="0.2">
      <c r="A13" s="27">
        <v>7</v>
      </c>
      <c r="B13" s="28" t="s">
        <v>339</v>
      </c>
      <c r="C13" s="28" t="s">
        <v>340</v>
      </c>
      <c r="D13" s="28" t="s">
        <v>33</v>
      </c>
      <c r="E13" s="29">
        <v>709290</v>
      </c>
      <c r="F13" s="30">
        <v>6994.3086899999998</v>
      </c>
      <c r="G13" s="31">
        <v>2.8530429999999999E-2</v>
      </c>
      <c r="H13" s="24" t="s">
        <v>146</v>
      </c>
    </row>
    <row r="14" spans="1:9" x14ac:dyDescent="0.2">
      <c r="A14" s="27">
        <v>8</v>
      </c>
      <c r="B14" s="28" t="s">
        <v>31</v>
      </c>
      <c r="C14" s="28" t="s">
        <v>32</v>
      </c>
      <c r="D14" s="28" t="s">
        <v>33</v>
      </c>
      <c r="E14" s="29">
        <v>426376</v>
      </c>
      <c r="F14" s="30">
        <v>5341.6385280000004</v>
      </c>
      <c r="G14" s="31">
        <v>2.1789039999999999E-2</v>
      </c>
      <c r="H14" s="24" t="s">
        <v>146</v>
      </c>
    </row>
    <row r="15" spans="1:9" x14ac:dyDescent="0.2">
      <c r="A15" s="27">
        <v>9</v>
      </c>
      <c r="B15" s="28" t="s">
        <v>644</v>
      </c>
      <c r="C15" s="28" t="s">
        <v>645</v>
      </c>
      <c r="D15" s="28" t="s">
        <v>120</v>
      </c>
      <c r="E15" s="29">
        <v>53454</v>
      </c>
      <c r="F15" s="30">
        <v>4214.9013539999996</v>
      </c>
      <c r="G15" s="31">
        <v>1.7192969999999998E-2</v>
      </c>
      <c r="H15" s="24" t="s">
        <v>146</v>
      </c>
    </row>
    <row r="16" spans="1:9" x14ac:dyDescent="0.2">
      <c r="A16" s="27">
        <v>10</v>
      </c>
      <c r="B16" s="28" t="s">
        <v>335</v>
      </c>
      <c r="C16" s="28" t="s">
        <v>336</v>
      </c>
      <c r="D16" s="28" t="s">
        <v>195</v>
      </c>
      <c r="E16" s="29">
        <v>91436</v>
      </c>
      <c r="F16" s="30">
        <v>3760.2140639999998</v>
      </c>
      <c r="G16" s="31">
        <v>1.5338259999999999E-2</v>
      </c>
      <c r="H16" s="24" t="s">
        <v>146</v>
      </c>
    </row>
    <row r="17" spans="1:8" x14ac:dyDescent="0.2">
      <c r="A17" s="27">
        <v>11</v>
      </c>
      <c r="B17" s="28" t="s">
        <v>347</v>
      </c>
      <c r="C17" s="28" t="s">
        <v>348</v>
      </c>
      <c r="D17" s="28" t="s">
        <v>349</v>
      </c>
      <c r="E17" s="29">
        <v>796956</v>
      </c>
      <c r="F17" s="30">
        <v>3566.3780999999999</v>
      </c>
      <c r="G17" s="31">
        <v>1.4547589999999999E-2</v>
      </c>
      <c r="H17" s="24" t="s">
        <v>146</v>
      </c>
    </row>
    <row r="18" spans="1:8" x14ac:dyDescent="0.2">
      <c r="A18" s="27">
        <v>12</v>
      </c>
      <c r="B18" s="28" t="s">
        <v>269</v>
      </c>
      <c r="C18" s="28" t="s">
        <v>270</v>
      </c>
      <c r="D18" s="28" t="s">
        <v>120</v>
      </c>
      <c r="E18" s="29">
        <v>636889</v>
      </c>
      <c r="F18" s="30">
        <v>3463.0839375</v>
      </c>
      <c r="G18" s="31">
        <v>1.412624E-2</v>
      </c>
      <c r="H18" s="24" t="s">
        <v>146</v>
      </c>
    </row>
    <row r="19" spans="1:8" x14ac:dyDescent="0.2">
      <c r="A19" s="27">
        <v>13</v>
      </c>
      <c r="B19" s="28" t="s">
        <v>331</v>
      </c>
      <c r="C19" s="28" t="s">
        <v>332</v>
      </c>
      <c r="D19" s="28" t="s">
        <v>205</v>
      </c>
      <c r="E19" s="29">
        <v>1504858</v>
      </c>
      <c r="F19" s="30">
        <v>3315.9546030000001</v>
      </c>
      <c r="G19" s="31">
        <v>1.3526079999999999E-2</v>
      </c>
      <c r="H19" s="24" t="s">
        <v>146</v>
      </c>
    </row>
    <row r="20" spans="1:8" x14ac:dyDescent="0.2">
      <c r="A20" s="27">
        <v>14</v>
      </c>
      <c r="B20" s="28" t="s">
        <v>76</v>
      </c>
      <c r="C20" s="28" t="s">
        <v>77</v>
      </c>
      <c r="D20" s="28" t="s">
        <v>19</v>
      </c>
      <c r="E20" s="29">
        <v>942804</v>
      </c>
      <c r="F20" s="30">
        <v>3273.4154880000001</v>
      </c>
      <c r="G20" s="31">
        <v>1.3352559999999999E-2</v>
      </c>
      <c r="H20" s="24" t="s">
        <v>146</v>
      </c>
    </row>
    <row r="21" spans="1:8" x14ac:dyDescent="0.2">
      <c r="A21" s="27">
        <v>15</v>
      </c>
      <c r="B21" s="28" t="s">
        <v>530</v>
      </c>
      <c r="C21" s="28" t="s">
        <v>531</v>
      </c>
      <c r="D21" s="28" t="s">
        <v>195</v>
      </c>
      <c r="E21" s="29">
        <v>181865</v>
      </c>
      <c r="F21" s="30">
        <v>3045.2384925000001</v>
      </c>
      <c r="G21" s="31">
        <v>1.242181E-2</v>
      </c>
      <c r="H21" s="24" t="s">
        <v>146</v>
      </c>
    </row>
    <row r="22" spans="1:8" x14ac:dyDescent="0.2">
      <c r="A22" s="27">
        <v>16</v>
      </c>
      <c r="B22" s="28" t="s">
        <v>448</v>
      </c>
      <c r="C22" s="28" t="s">
        <v>449</v>
      </c>
      <c r="D22" s="28" t="s">
        <v>33</v>
      </c>
      <c r="E22" s="29">
        <v>300240</v>
      </c>
      <c r="F22" s="30">
        <v>2975.9788800000001</v>
      </c>
      <c r="G22" s="31">
        <v>1.213929E-2</v>
      </c>
      <c r="H22" s="24" t="s">
        <v>146</v>
      </c>
    </row>
    <row r="23" spans="1:8" ht="25.5" x14ac:dyDescent="0.2">
      <c r="A23" s="27">
        <v>17</v>
      </c>
      <c r="B23" s="28" t="s">
        <v>73</v>
      </c>
      <c r="C23" s="28" t="s">
        <v>74</v>
      </c>
      <c r="D23" s="28" t="s">
        <v>75</v>
      </c>
      <c r="E23" s="29">
        <v>262363</v>
      </c>
      <c r="F23" s="30">
        <v>2884.2876405000002</v>
      </c>
      <c r="G23" s="31">
        <v>1.1765279999999999E-2</v>
      </c>
      <c r="H23" s="24" t="s">
        <v>146</v>
      </c>
    </row>
    <row r="24" spans="1:8" x14ac:dyDescent="0.2">
      <c r="A24" s="27">
        <v>18</v>
      </c>
      <c r="B24" s="28" t="s">
        <v>48</v>
      </c>
      <c r="C24" s="28" t="s">
        <v>49</v>
      </c>
      <c r="D24" s="28" t="s">
        <v>33</v>
      </c>
      <c r="E24" s="29">
        <v>367625</v>
      </c>
      <c r="F24" s="30">
        <v>2841.3736250000002</v>
      </c>
      <c r="G24" s="31">
        <v>1.159023E-2</v>
      </c>
      <c r="H24" s="24" t="s">
        <v>146</v>
      </c>
    </row>
    <row r="25" spans="1:8" ht="25.5" x14ac:dyDescent="0.2">
      <c r="A25" s="27">
        <v>19</v>
      </c>
      <c r="B25" s="28" t="s">
        <v>23</v>
      </c>
      <c r="C25" s="28" t="s">
        <v>24</v>
      </c>
      <c r="D25" s="28" t="s">
        <v>25</v>
      </c>
      <c r="E25" s="29">
        <v>23061</v>
      </c>
      <c r="F25" s="30">
        <v>2649.1208445000002</v>
      </c>
      <c r="G25" s="31">
        <v>1.080601E-2</v>
      </c>
      <c r="H25" s="24" t="s">
        <v>146</v>
      </c>
    </row>
    <row r="26" spans="1:8" ht="25.5" x14ac:dyDescent="0.2">
      <c r="A26" s="27">
        <v>20</v>
      </c>
      <c r="B26" s="28" t="s">
        <v>337</v>
      </c>
      <c r="C26" s="28" t="s">
        <v>338</v>
      </c>
      <c r="D26" s="28" t="s">
        <v>198</v>
      </c>
      <c r="E26" s="29">
        <v>136432</v>
      </c>
      <c r="F26" s="30">
        <v>2379.3058639999999</v>
      </c>
      <c r="G26" s="31">
        <v>9.7054099999999994E-3</v>
      </c>
      <c r="H26" s="24" t="s">
        <v>146</v>
      </c>
    </row>
    <row r="27" spans="1:8" x14ac:dyDescent="0.2">
      <c r="A27" s="27">
        <v>21</v>
      </c>
      <c r="B27" s="28" t="s">
        <v>389</v>
      </c>
      <c r="C27" s="28" t="s">
        <v>390</v>
      </c>
      <c r="D27" s="28" t="s">
        <v>33</v>
      </c>
      <c r="E27" s="29">
        <v>6372223</v>
      </c>
      <c r="F27" s="30">
        <v>2288.9025016000001</v>
      </c>
      <c r="G27" s="31">
        <v>9.3366400000000002E-3</v>
      </c>
      <c r="H27" s="24" t="s">
        <v>146</v>
      </c>
    </row>
    <row r="28" spans="1:8" x14ac:dyDescent="0.2">
      <c r="A28" s="27">
        <v>22</v>
      </c>
      <c r="B28" s="28" t="s">
        <v>357</v>
      </c>
      <c r="C28" s="28" t="s">
        <v>358</v>
      </c>
      <c r="D28" s="28" t="s">
        <v>275</v>
      </c>
      <c r="E28" s="29">
        <v>296507</v>
      </c>
      <c r="F28" s="30">
        <v>2123.286627</v>
      </c>
      <c r="G28" s="31">
        <v>8.6610799999999998E-3</v>
      </c>
      <c r="H28" s="24" t="s">
        <v>146</v>
      </c>
    </row>
    <row r="29" spans="1:8" x14ac:dyDescent="0.2">
      <c r="A29" s="27">
        <v>23</v>
      </c>
      <c r="B29" s="28" t="s">
        <v>313</v>
      </c>
      <c r="C29" s="28" t="s">
        <v>314</v>
      </c>
      <c r="D29" s="28" t="s">
        <v>47</v>
      </c>
      <c r="E29" s="29">
        <v>126385</v>
      </c>
      <c r="F29" s="30">
        <v>2074.98893</v>
      </c>
      <c r="G29" s="31">
        <v>8.4640700000000006E-3</v>
      </c>
      <c r="H29" s="24" t="s">
        <v>146</v>
      </c>
    </row>
    <row r="30" spans="1:8" x14ac:dyDescent="0.2">
      <c r="A30" s="27">
        <v>24</v>
      </c>
      <c r="B30" s="28" t="s">
        <v>425</v>
      </c>
      <c r="C30" s="28" t="s">
        <v>426</v>
      </c>
      <c r="D30" s="28" t="s">
        <v>139</v>
      </c>
      <c r="E30" s="29">
        <v>1532468</v>
      </c>
      <c r="F30" s="30">
        <v>2063.0084216</v>
      </c>
      <c r="G30" s="31">
        <v>8.4151999999999994E-3</v>
      </c>
      <c r="H30" s="24" t="s">
        <v>146</v>
      </c>
    </row>
    <row r="31" spans="1:8" x14ac:dyDescent="0.2">
      <c r="A31" s="27">
        <v>25</v>
      </c>
      <c r="B31" s="28" t="s">
        <v>97</v>
      </c>
      <c r="C31" s="28" t="s">
        <v>98</v>
      </c>
      <c r="D31" s="28" t="s">
        <v>99</v>
      </c>
      <c r="E31" s="29">
        <v>1160050</v>
      </c>
      <c r="F31" s="30">
        <v>2054.6805599999998</v>
      </c>
      <c r="G31" s="31">
        <v>8.3812299999999999E-3</v>
      </c>
      <c r="H31" s="24" t="s">
        <v>146</v>
      </c>
    </row>
    <row r="32" spans="1:8" x14ac:dyDescent="0.2">
      <c r="A32" s="27">
        <v>26</v>
      </c>
      <c r="B32" s="28" t="s">
        <v>441</v>
      </c>
      <c r="C32" s="28" t="s">
        <v>442</v>
      </c>
      <c r="D32" s="28" t="s">
        <v>349</v>
      </c>
      <c r="E32" s="29">
        <v>81793</v>
      </c>
      <c r="F32" s="30">
        <v>2019.305584</v>
      </c>
      <c r="G32" s="31">
        <v>8.2369299999999999E-3</v>
      </c>
      <c r="H32" s="24" t="s">
        <v>146</v>
      </c>
    </row>
    <row r="33" spans="1:8" x14ac:dyDescent="0.2">
      <c r="A33" s="27">
        <v>27</v>
      </c>
      <c r="B33" s="28" t="s">
        <v>234</v>
      </c>
      <c r="C33" s="28" t="s">
        <v>235</v>
      </c>
      <c r="D33" s="28" t="s">
        <v>205</v>
      </c>
      <c r="E33" s="29">
        <v>26061</v>
      </c>
      <c r="F33" s="30">
        <v>2012.8734569999999</v>
      </c>
      <c r="G33" s="31">
        <v>8.2106999999999996E-3</v>
      </c>
      <c r="H33" s="24" t="s">
        <v>146</v>
      </c>
    </row>
    <row r="34" spans="1:8" ht="25.5" x14ac:dyDescent="0.2">
      <c r="A34" s="27">
        <v>28</v>
      </c>
      <c r="B34" s="28" t="s">
        <v>229</v>
      </c>
      <c r="C34" s="28" t="s">
        <v>230</v>
      </c>
      <c r="D34" s="28" t="s">
        <v>198</v>
      </c>
      <c r="E34" s="29">
        <v>39723</v>
      </c>
      <c r="F34" s="30">
        <v>2011.1953515</v>
      </c>
      <c r="G34" s="31">
        <v>8.2038500000000004E-3</v>
      </c>
      <c r="H34" s="24" t="s">
        <v>146</v>
      </c>
    </row>
    <row r="35" spans="1:8" x14ac:dyDescent="0.2">
      <c r="A35" s="27">
        <v>29</v>
      </c>
      <c r="B35" s="28" t="s">
        <v>811</v>
      </c>
      <c r="C35" s="28" t="s">
        <v>812</v>
      </c>
      <c r="D35" s="28" t="s">
        <v>275</v>
      </c>
      <c r="E35" s="29">
        <v>118734</v>
      </c>
      <c r="F35" s="30">
        <v>1991.8222169999999</v>
      </c>
      <c r="G35" s="31">
        <v>8.1248299999999996E-3</v>
      </c>
      <c r="H35" s="24" t="s">
        <v>146</v>
      </c>
    </row>
    <row r="36" spans="1:8" x14ac:dyDescent="0.2">
      <c r="A36" s="27">
        <v>30</v>
      </c>
      <c r="B36" s="28" t="s">
        <v>707</v>
      </c>
      <c r="C36" s="28" t="s">
        <v>708</v>
      </c>
      <c r="D36" s="28" t="s">
        <v>39</v>
      </c>
      <c r="E36" s="29">
        <v>85780</v>
      </c>
      <c r="F36" s="30">
        <v>1973.6262400000001</v>
      </c>
      <c r="G36" s="31">
        <v>8.0505999999999998E-3</v>
      </c>
      <c r="H36" s="24" t="s">
        <v>146</v>
      </c>
    </row>
    <row r="37" spans="1:8" x14ac:dyDescent="0.2">
      <c r="A37" s="27">
        <v>31</v>
      </c>
      <c r="B37" s="28" t="s">
        <v>387</v>
      </c>
      <c r="C37" s="28" t="s">
        <v>388</v>
      </c>
      <c r="D37" s="28" t="s">
        <v>33</v>
      </c>
      <c r="E37" s="29">
        <v>2956670</v>
      </c>
      <c r="F37" s="30">
        <v>1966.1855499999999</v>
      </c>
      <c r="G37" s="31">
        <v>8.0202499999999996E-3</v>
      </c>
      <c r="H37" s="24" t="s">
        <v>146</v>
      </c>
    </row>
    <row r="38" spans="1:8" x14ac:dyDescent="0.2">
      <c r="A38" s="27">
        <v>32</v>
      </c>
      <c r="B38" s="28" t="s">
        <v>363</v>
      </c>
      <c r="C38" s="28" t="s">
        <v>364</v>
      </c>
      <c r="D38" s="28" t="s">
        <v>39</v>
      </c>
      <c r="E38" s="29">
        <v>52329</v>
      </c>
      <c r="F38" s="30">
        <v>1826.4129224999999</v>
      </c>
      <c r="G38" s="31">
        <v>7.4501100000000002E-3</v>
      </c>
      <c r="H38" s="24" t="s">
        <v>146</v>
      </c>
    </row>
    <row r="39" spans="1:8" x14ac:dyDescent="0.2">
      <c r="A39" s="27">
        <v>33</v>
      </c>
      <c r="B39" s="28" t="s">
        <v>435</v>
      </c>
      <c r="C39" s="28" t="s">
        <v>436</v>
      </c>
      <c r="D39" s="28" t="s">
        <v>195</v>
      </c>
      <c r="E39" s="29">
        <v>101081</v>
      </c>
      <c r="F39" s="30">
        <v>1744.1021145</v>
      </c>
      <c r="G39" s="31">
        <v>7.1143500000000002E-3</v>
      </c>
      <c r="H39" s="24" t="s">
        <v>146</v>
      </c>
    </row>
    <row r="40" spans="1:8" x14ac:dyDescent="0.2">
      <c r="A40" s="27">
        <v>34</v>
      </c>
      <c r="B40" s="28" t="s">
        <v>267</v>
      </c>
      <c r="C40" s="28" t="s">
        <v>268</v>
      </c>
      <c r="D40" s="28" t="s">
        <v>120</v>
      </c>
      <c r="E40" s="29">
        <v>406125</v>
      </c>
      <c r="F40" s="30">
        <v>1715.878125</v>
      </c>
      <c r="G40" s="31">
        <v>6.9992300000000004E-3</v>
      </c>
      <c r="H40" s="24" t="s">
        <v>146</v>
      </c>
    </row>
    <row r="41" spans="1:8" x14ac:dyDescent="0.2">
      <c r="A41" s="27">
        <v>35</v>
      </c>
      <c r="B41" s="28" t="s">
        <v>242</v>
      </c>
      <c r="C41" s="28" t="s">
        <v>243</v>
      </c>
      <c r="D41" s="28" t="s">
        <v>33</v>
      </c>
      <c r="E41" s="29">
        <v>1484384</v>
      </c>
      <c r="F41" s="30">
        <v>1714.3150816</v>
      </c>
      <c r="G41" s="31">
        <v>6.9928500000000001E-3</v>
      </c>
      <c r="H41" s="24" t="s">
        <v>146</v>
      </c>
    </row>
    <row r="42" spans="1:8" x14ac:dyDescent="0.2">
      <c r="A42" s="27">
        <v>36</v>
      </c>
      <c r="B42" s="28" t="s">
        <v>43</v>
      </c>
      <c r="C42" s="28" t="s">
        <v>44</v>
      </c>
      <c r="D42" s="28" t="s">
        <v>16</v>
      </c>
      <c r="E42" s="29">
        <v>656138</v>
      </c>
      <c r="F42" s="30">
        <v>1713.176318</v>
      </c>
      <c r="G42" s="31">
        <v>6.9882E-3</v>
      </c>
      <c r="H42" s="24" t="s">
        <v>146</v>
      </c>
    </row>
    <row r="43" spans="1:8" x14ac:dyDescent="0.2">
      <c r="A43" s="27">
        <v>37</v>
      </c>
      <c r="B43" s="28" t="s">
        <v>273</v>
      </c>
      <c r="C43" s="28" t="s">
        <v>274</v>
      </c>
      <c r="D43" s="28" t="s">
        <v>275</v>
      </c>
      <c r="E43" s="29">
        <v>66850</v>
      </c>
      <c r="F43" s="30">
        <v>1643.1061500000001</v>
      </c>
      <c r="G43" s="31">
        <v>6.70238E-3</v>
      </c>
      <c r="H43" s="24" t="s">
        <v>146</v>
      </c>
    </row>
    <row r="44" spans="1:8" x14ac:dyDescent="0.2">
      <c r="A44" s="27">
        <v>38</v>
      </c>
      <c r="B44" s="28" t="s">
        <v>371</v>
      </c>
      <c r="C44" s="28" t="s">
        <v>372</v>
      </c>
      <c r="D44" s="28" t="s">
        <v>373</v>
      </c>
      <c r="E44" s="29">
        <v>397177</v>
      </c>
      <c r="F44" s="30">
        <v>1572.4237430000001</v>
      </c>
      <c r="G44" s="31">
        <v>6.4140600000000001E-3</v>
      </c>
      <c r="H44" s="24" t="s">
        <v>146</v>
      </c>
    </row>
    <row r="45" spans="1:8" x14ac:dyDescent="0.2">
      <c r="A45" s="27">
        <v>39</v>
      </c>
      <c r="B45" s="28" t="s">
        <v>219</v>
      </c>
      <c r="C45" s="28" t="s">
        <v>220</v>
      </c>
      <c r="D45" s="28" t="s">
        <v>16</v>
      </c>
      <c r="E45" s="29">
        <v>428444</v>
      </c>
      <c r="F45" s="30">
        <v>1534.9006300000001</v>
      </c>
      <c r="G45" s="31">
        <v>6.2610000000000001E-3</v>
      </c>
      <c r="H45" s="24" t="s">
        <v>146</v>
      </c>
    </row>
    <row r="46" spans="1:8" x14ac:dyDescent="0.2">
      <c r="A46" s="27">
        <v>40</v>
      </c>
      <c r="B46" s="28" t="s">
        <v>118</v>
      </c>
      <c r="C46" s="28" t="s">
        <v>119</v>
      </c>
      <c r="D46" s="28" t="s">
        <v>120</v>
      </c>
      <c r="E46" s="29">
        <v>336975</v>
      </c>
      <c r="F46" s="30">
        <v>1515.8820375</v>
      </c>
      <c r="G46" s="31">
        <v>6.1834200000000002E-3</v>
      </c>
      <c r="H46" s="24" t="s">
        <v>146</v>
      </c>
    </row>
    <row r="47" spans="1:8" x14ac:dyDescent="0.2">
      <c r="A47" s="27">
        <v>41</v>
      </c>
      <c r="B47" s="28" t="s">
        <v>78</v>
      </c>
      <c r="C47" s="28" t="s">
        <v>79</v>
      </c>
      <c r="D47" s="28" t="s">
        <v>80</v>
      </c>
      <c r="E47" s="29">
        <v>34880</v>
      </c>
      <c r="F47" s="30">
        <v>1508.3332800000001</v>
      </c>
      <c r="G47" s="31">
        <v>6.1526300000000001E-3</v>
      </c>
      <c r="H47" s="24" t="s">
        <v>146</v>
      </c>
    </row>
    <row r="48" spans="1:8" ht="25.5" x14ac:dyDescent="0.2">
      <c r="A48" s="27">
        <v>42</v>
      </c>
      <c r="B48" s="28" t="s">
        <v>841</v>
      </c>
      <c r="C48" s="28" t="s">
        <v>842</v>
      </c>
      <c r="D48" s="28" t="s">
        <v>25</v>
      </c>
      <c r="E48" s="29">
        <v>660253</v>
      </c>
      <c r="F48" s="30">
        <v>1454.2732578</v>
      </c>
      <c r="G48" s="31">
        <v>5.9321199999999999E-3</v>
      </c>
      <c r="H48" s="24" t="s">
        <v>146</v>
      </c>
    </row>
    <row r="49" spans="1:8" ht="25.5" x14ac:dyDescent="0.2">
      <c r="A49" s="27">
        <v>43</v>
      </c>
      <c r="B49" s="28" t="s">
        <v>196</v>
      </c>
      <c r="C49" s="28" t="s">
        <v>197</v>
      </c>
      <c r="D49" s="28" t="s">
        <v>198</v>
      </c>
      <c r="E49" s="29">
        <v>68182</v>
      </c>
      <c r="F49" s="30">
        <v>1418.4924189999999</v>
      </c>
      <c r="G49" s="31">
        <v>5.7861600000000003E-3</v>
      </c>
      <c r="H49" s="24" t="s">
        <v>146</v>
      </c>
    </row>
    <row r="50" spans="1:8" x14ac:dyDescent="0.2">
      <c r="A50" s="27">
        <v>44</v>
      </c>
      <c r="B50" s="28" t="s">
        <v>750</v>
      </c>
      <c r="C50" s="28" t="s">
        <v>751</v>
      </c>
      <c r="D50" s="28" t="s">
        <v>752</v>
      </c>
      <c r="E50" s="29">
        <v>60650</v>
      </c>
      <c r="F50" s="30">
        <v>1402.9558</v>
      </c>
      <c r="G50" s="31">
        <v>5.7227900000000002E-3</v>
      </c>
      <c r="H50" s="24" t="s">
        <v>146</v>
      </c>
    </row>
    <row r="51" spans="1:8" ht="25.5" x14ac:dyDescent="0.2">
      <c r="A51" s="27">
        <v>45</v>
      </c>
      <c r="B51" s="28" t="s">
        <v>104</v>
      </c>
      <c r="C51" s="28" t="s">
        <v>105</v>
      </c>
      <c r="D51" s="28" t="s">
        <v>25</v>
      </c>
      <c r="E51" s="29">
        <v>225677</v>
      </c>
      <c r="F51" s="30">
        <v>1157.2716559999999</v>
      </c>
      <c r="G51" s="31">
        <v>4.72062E-3</v>
      </c>
      <c r="H51" s="24" t="s">
        <v>146</v>
      </c>
    </row>
    <row r="52" spans="1:8" ht="25.5" x14ac:dyDescent="0.2">
      <c r="A52" s="27">
        <v>46</v>
      </c>
      <c r="B52" s="28" t="s">
        <v>443</v>
      </c>
      <c r="C52" s="28" t="s">
        <v>444</v>
      </c>
      <c r="D52" s="28" t="s">
        <v>218</v>
      </c>
      <c r="E52" s="29">
        <v>112583</v>
      </c>
      <c r="F52" s="30">
        <v>1153.5817095</v>
      </c>
      <c r="G52" s="31">
        <v>4.7055700000000001E-3</v>
      </c>
      <c r="H52" s="24" t="s">
        <v>146</v>
      </c>
    </row>
    <row r="53" spans="1:8" ht="25.5" x14ac:dyDescent="0.2">
      <c r="A53" s="27">
        <v>47</v>
      </c>
      <c r="B53" s="28" t="s">
        <v>469</v>
      </c>
      <c r="C53" s="28" t="s">
        <v>470</v>
      </c>
      <c r="D53" s="28" t="s">
        <v>218</v>
      </c>
      <c r="E53" s="29">
        <v>219378</v>
      </c>
      <c r="F53" s="30">
        <v>1069.1386829999999</v>
      </c>
      <c r="G53" s="31">
        <v>4.3611199999999996E-3</v>
      </c>
      <c r="H53" s="24" t="s">
        <v>146</v>
      </c>
    </row>
    <row r="54" spans="1:8" x14ac:dyDescent="0.2">
      <c r="A54" s="27">
        <v>48</v>
      </c>
      <c r="B54" s="28" t="s">
        <v>227</v>
      </c>
      <c r="C54" s="28" t="s">
        <v>228</v>
      </c>
      <c r="D54" s="28" t="s">
        <v>83</v>
      </c>
      <c r="E54" s="29">
        <v>235313</v>
      </c>
      <c r="F54" s="30">
        <v>1029.023749</v>
      </c>
      <c r="G54" s="31">
        <v>4.19748E-3</v>
      </c>
      <c r="H54" s="24" t="s">
        <v>146</v>
      </c>
    </row>
    <row r="55" spans="1:8" x14ac:dyDescent="0.2">
      <c r="A55" s="27">
        <v>49</v>
      </c>
      <c r="B55" s="28" t="s">
        <v>278</v>
      </c>
      <c r="C55" s="28" t="s">
        <v>279</v>
      </c>
      <c r="D55" s="28" t="s">
        <v>280</v>
      </c>
      <c r="E55" s="29">
        <v>151130</v>
      </c>
      <c r="F55" s="30">
        <v>930.96079999999995</v>
      </c>
      <c r="G55" s="31">
        <v>3.7974800000000002E-3</v>
      </c>
      <c r="H55" s="24" t="s">
        <v>146</v>
      </c>
    </row>
    <row r="56" spans="1:8" x14ac:dyDescent="0.2">
      <c r="A56" s="27">
        <v>50</v>
      </c>
      <c r="B56" s="28" t="s">
        <v>333</v>
      </c>
      <c r="C56" s="28" t="s">
        <v>334</v>
      </c>
      <c r="D56" s="28" t="s">
        <v>33</v>
      </c>
      <c r="E56" s="29">
        <v>48800</v>
      </c>
      <c r="F56" s="30">
        <v>927.83439999999996</v>
      </c>
      <c r="G56" s="31">
        <v>3.7847200000000001E-3</v>
      </c>
      <c r="H56" s="24" t="s">
        <v>146</v>
      </c>
    </row>
    <row r="57" spans="1:8" x14ac:dyDescent="0.2">
      <c r="A57" s="27">
        <v>51</v>
      </c>
      <c r="B57" s="28" t="s">
        <v>359</v>
      </c>
      <c r="C57" s="28" t="s">
        <v>360</v>
      </c>
      <c r="D57" s="28" t="s">
        <v>30</v>
      </c>
      <c r="E57" s="29">
        <v>22500</v>
      </c>
      <c r="F57" s="30">
        <v>885.78</v>
      </c>
      <c r="G57" s="31">
        <v>3.6131800000000001E-3</v>
      </c>
      <c r="H57" s="24" t="s">
        <v>146</v>
      </c>
    </row>
    <row r="58" spans="1:8" ht="25.5" x14ac:dyDescent="0.2">
      <c r="A58" s="27">
        <v>52</v>
      </c>
      <c r="B58" s="28" t="s">
        <v>188</v>
      </c>
      <c r="C58" s="28" t="s">
        <v>189</v>
      </c>
      <c r="D58" s="28" t="s">
        <v>190</v>
      </c>
      <c r="E58" s="29">
        <v>47207</v>
      </c>
      <c r="F58" s="30">
        <v>854.23426849999998</v>
      </c>
      <c r="G58" s="31">
        <v>3.4845000000000002E-3</v>
      </c>
      <c r="H58" s="24" t="s">
        <v>146</v>
      </c>
    </row>
    <row r="59" spans="1:8" x14ac:dyDescent="0.2">
      <c r="A59" s="27">
        <v>53</v>
      </c>
      <c r="B59" s="28" t="s">
        <v>110</v>
      </c>
      <c r="C59" s="28" t="s">
        <v>111</v>
      </c>
      <c r="D59" s="28" t="s">
        <v>42</v>
      </c>
      <c r="E59" s="29">
        <v>28964</v>
      </c>
      <c r="F59" s="30">
        <v>844.025442</v>
      </c>
      <c r="G59" s="31">
        <v>3.4428599999999998E-3</v>
      </c>
      <c r="H59" s="24" t="s">
        <v>146</v>
      </c>
    </row>
    <row r="60" spans="1:8" x14ac:dyDescent="0.2">
      <c r="A60" s="27">
        <v>54</v>
      </c>
      <c r="B60" s="28" t="s">
        <v>445</v>
      </c>
      <c r="C60" s="28" t="s">
        <v>446</v>
      </c>
      <c r="D60" s="28" t="s">
        <v>447</v>
      </c>
      <c r="E60" s="29">
        <v>126269</v>
      </c>
      <c r="F60" s="30">
        <v>750.41666699999996</v>
      </c>
      <c r="G60" s="31">
        <v>3.0610199999999998E-3</v>
      </c>
      <c r="H60" s="24" t="s">
        <v>146</v>
      </c>
    </row>
    <row r="61" spans="1:8" ht="25.5" x14ac:dyDescent="0.2">
      <c r="A61" s="27">
        <v>55</v>
      </c>
      <c r="B61" s="28" t="s">
        <v>361</v>
      </c>
      <c r="C61" s="28" t="s">
        <v>362</v>
      </c>
      <c r="D61" s="28" t="s">
        <v>120</v>
      </c>
      <c r="E61" s="29">
        <v>53388</v>
      </c>
      <c r="F61" s="30">
        <v>686.489598</v>
      </c>
      <c r="G61" s="31">
        <v>2.8002499999999998E-3</v>
      </c>
      <c r="H61" s="24" t="s">
        <v>146</v>
      </c>
    </row>
    <row r="62" spans="1:8" x14ac:dyDescent="0.2">
      <c r="A62" s="27">
        <v>56</v>
      </c>
      <c r="B62" s="28" t="s">
        <v>395</v>
      </c>
      <c r="C62" s="28" t="s">
        <v>396</v>
      </c>
      <c r="D62" s="28" t="s">
        <v>233</v>
      </c>
      <c r="E62" s="29">
        <v>21899</v>
      </c>
      <c r="F62" s="30">
        <v>513.77243899999996</v>
      </c>
      <c r="G62" s="31">
        <v>2.0957300000000001E-3</v>
      </c>
      <c r="H62" s="24" t="s">
        <v>146</v>
      </c>
    </row>
    <row r="63" spans="1:8" x14ac:dyDescent="0.2">
      <c r="A63" s="27">
        <v>57</v>
      </c>
      <c r="B63" s="28" t="s">
        <v>45</v>
      </c>
      <c r="C63" s="28" t="s">
        <v>46</v>
      </c>
      <c r="D63" s="28" t="s">
        <v>47</v>
      </c>
      <c r="E63" s="29">
        <v>39982</v>
      </c>
      <c r="F63" s="30">
        <v>468.20921099999998</v>
      </c>
      <c r="G63" s="31">
        <v>1.9098699999999999E-3</v>
      </c>
      <c r="H63" s="24" t="s">
        <v>146</v>
      </c>
    </row>
    <row r="64" spans="1:8" x14ac:dyDescent="0.2">
      <c r="A64" s="27">
        <v>58</v>
      </c>
      <c r="B64" s="28" t="s">
        <v>20</v>
      </c>
      <c r="C64" s="28" t="s">
        <v>21</v>
      </c>
      <c r="D64" s="28" t="s">
        <v>22</v>
      </c>
      <c r="E64" s="29">
        <v>66000</v>
      </c>
      <c r="F64" s="30">
        <v>213.84</v>
      </c>
      <c r="G64" s="31">
        <v>8.7226999999999997E-4</v>
      </c>
      <c r="H64" s="24" t="s">
        <v>146</v>
      </c>
    </row>
    <row r="65" spans="1:8" ht="25.5" x14ac:dyDescent="0.2">
      <c r="A65" s="27">
        <v>59</v>
      </c>
      <c r="B65" s="28" t="s">
        <v>639</v>
      </c>
      <c r="C65" s="28" t="s">
        <v>640</v>
      </c>
      <c r="D65" s="28" t="s">
        <v>641</v>
      </c>
      <c r="E65" s="29">
        <v>6900</v>
      </c>
      <c r="F65" s="30">
        <v>157.85820000000001</v>
      </c>
      <c r="G65" s="31">
        <v>6.4391999999999997E-4</v>
      </c>
      <c r="H65" s="24" t="s">
        <v>146</v>
      </c>
    </row>
    <row r="66" spans="1:8" x14ac:dyDescent="0.2">
      <c r="A66" s="27">
        <v>60</v>
      </c>
      <c r="B66" s="28" t="s">
        <v>642</v>
      </c>
      <c r="C66" s="28" t="s">
        <v>643</v>
      </c>
      <c r="D66" s="28" t="s">
        <v>33</v>
      </c>
      <c r="E66" s="29">
        <v>152000</v>
      </c>
      <c r="F66" s="30">
        <v>153.82400000000001</v>
      </c>
      <c r="G66" s="31">
        <v>6.2746000000000004E-4</v>
      </c>
      <c r="H66" s="24" t="s">
        <v>146</v>
      </c>
    </row>
    <row r="67" spans="1:8" x14ac:dyDescent="0.2">
      <c r="A67" s="27">
        <v>61</v>
      </c>
      <c r="B67" s="28" t="s">
        <v>453</v>
      </c>
      <c r="C67" s="28" t="s">
        <v>454</v>
      </c>
      <c r="D67" s="28" t="s">
        <v>223</v>
      </c>
      <c r="E67" s="29">
        <v>79695</v>
      </c>
      <c r="F67" s="30">
        <v>129.86300249999999</v>
      </c>
      <c r="G67" s="31">
        <v>5.2972000000000002E-4</v>
      </c>
      <c r="H67" s="24" t="s">
        <v>146</v>
      </c>
    </row>
    <row r="68" spans="1:8" x14ac:dyDescent="0.2">
      <c r="A68" s="27">
        <v>62</v>
      </c>
      <c r="B68" s="28" t="s">
        <v>732</v>
      </c>
      <c r="C68" s="28" t="s">
        <v>733</v>
      </c>
      <c r="D68" s="28" t="s">
        <v>275</v>
      </c>
      <c r="E68" s="29">
        <v>2275</v>
      </c>
      <c r="F68" s="30">
        <v>118.17032500000001</v>
      </c>
      <c r="G68" s="31">
        <v>4.8202999999999999E-4</v>
      </c>
      <c r="H68" s="24" t="s">
        <v>146</v>
      </c>
    </row>
    <row r="69" spans="1:8" x14ac:dyDescent="0.2">
      <c r="A69" s="27">
        <v>63</v>
      </c>
      <c r="B69" s="28" t="s">
        <v>528</v>
      </c>
      <c r="C69" s="28" t="s">
        <v>529</v>
      </c>
      <c r="D69" s="28" t="s">
        <v>275</v>
      </c>
      <c r="E69" s="29">
        <v>525</v>
      </c>
      <c r="F69" s="30">
        <v>46.450949999999999</v>
      </c>
      <c r="G69" s="31">
        <v>1.8948000000000001E-4</v>
      </c>
      <c r="H69" s="24" t="s">
        <v>146</v>
      </c>
    </row>
    <row r="70" spans="1:8" ht="25.5" x14ac:dyDescent="0.2">
      <c r="A70" s="27">
        <v>64</v>
      </c>
      <c r="B70" s="28" t="s">
        <v>437</v>
      </c>
      <c r="C70" s="28" t="s">
        <v>438</v>
      </c>
      <c r="D70" s="28" t="s">
        <v>198</v>
      </c>
      <c r="E70" s="29">
        <v>650</v>
      </c>
      <c r="F70" s="30">
        <v>9.6160999999999994</v>
      </c>
      <c r="G70" s="31" t="s">
        <v>144</v>
      </c>
      <c r="H70" s="24" t="s">
        <v>146</v>
      </c>
    </row>
    <row r="71" spans="1:8" x14ac:dyDescent="0.2">
      <c r="A71" s="25"/>
      <c r="B71" s="25"/>
      <c r="C71" s="26" t="s">
        <v>145</v>
      </c>
      <c r="D71" s="25"/>
      <c r="E71" s="25" t="s">
        <v>146</v>
      </c>
      <c r="F71" s="32">
        <v>160045.2076776</v>
      </c>
      <c r="G71" s="33">
        <v>0.65283919000000001</v>
      </c>
      <c r="H71" s="24" t="s">
        <v>146</v>
      </c>
    </row>
    <row r="72" spans="1:8" x14ac:dyDescent="0.2">
      <c r="A72" s="25"/>
      <c r="B72" s="25"/>
      <c r="C72" s="34"/>
      <c r="D72" s="25"/>
      <c r="E72" s="25"/>
      <c r="F72" s="35"/>
      <c r="G72" s="35"/>
      <c r="H72" s="24" t="s">
        <v>146</v>
      </c>
    </row>
    <row r="73" spans="1:8" x14ac:dyDescent="0.2">
      <c r="A73" s="25"/>
      <c r="B73" s="25"/>
      <c r="C73" s="26" t="s">
        <v>147</v>
      </c>
      <c r="D73" s="25"/>
      <c r="E73" s="25"/>
      <c r="F73" s="25"/>
      <c r="G73" s="25"/>
      <c r="H73" s="24" t="s">
        <v>146</v>
      </c>
    </row>
    <row r="74" spans="1:8" x14ac:dyDescent="0.2">
      <c r="A74" s="25"/>
      <c r="B74" s="25"/>
      <c r="C74" s="26" t="s">
        <v>145</v>
      </c>
      <c r="D74" s="25"/>
      <c r="E74" s="25" t="s">
        <v>146</v>
      </c>
      <c r="F74" s="36" t="s">
        <v>148</v>
      </c>
      <c r="G74" s="33">
        <v>0</v>
      </c>
      <c r="H74" s="24" t="s">
        <v>146</v>
      </c>
    </row>
    <row r="75" spans="1:8" x14ac:dyDescent="0.2">
      <c r="A75" s="25"/>
      <c r="B75" s="25"/>
      <c r="C75" s="34"/>
      <c r="D75" s="25"/>
      <c r="E75" s="25"/>
      <c r="F75" s="35"/>
      <c r="G75" s="35"/>
      <c r="H75" s="24" t="s">
        <v>146</v>
      </c>
    </row>
    <row r="76" spans="1:8" x14ac:dyDescent="0.2">
      <c r="A76" s="25"/>
      <c r="B76" s="25"/>
      <c r="C76" s="26" t="s">
        <v>149</v>
      </c>
      <c r="D76" s="25"/>
      <c r="E76" s="25"/>
      <c r="F76" s="25"/>
      <c r="G76" s="25"/>
      <c r="H76" s="24" t="s">
        <v>146</v>
      </c>
    </row>
    <row r="77" spans="1:8" x14ac:dyDescent="0.2">
      <c r="A77" s="25"/>
      <c r="B77" s="25"/>
      <c r="C77" s="26" t="s">
        <v>145</v>
      </c>
      <c r="D77" s="25"/>
      <c r="E77" s="25" t="s">
        <v>146</v>
      </c>
      <c r="F77" s="36" t="s">
        <v>148</v>
      </c>
      <c r="G77" s="33">
        <v>0</v>
      </c>
      <c r="H77" s="24" t="s">
        <v>146</v>
      </c>
    </row>
    <row r="78" spans="1:8" x14ac:dyDescent="0.2">
      <c r="A78" s="25"/>
      <c r="B78" s="25"/>
      <c r="C78" s="34"/>
      <c r="D78" s="25"/>
      <c r="E78" s="25"/>
      <c r="F78" s="35"/>
      <c r="G78" s="35"/>
      <c r="H78" s="24" t="s">
        <v>146</v>
      </c>
    </row>
    <row r="79" spans="1:8" x14ac:dyDescent="0.2">
      <c r="A79" s="25"/>
      <c r="B79" s="25"/>
      <c r="C79" s="26" t="s">
        <v>150</v>
      </c>
      <c r="D79" s="25"/>
      <c r="E79" s="25"/>
      <c r="F79" s="25"/>
      <c r="G79" s="25"/>
      <c r="H79" s="24" t="s">
        <v>146</v>
      </c>
    </row>
    <row r="80" spans="1:8" x14ac:dyDescent="0.2">
      <c r="A80" s="25"/>
      <c r="B80" s="25"/>
      <c r="C80" s="26" t="s">
        <v>145</v>
      </c>
      <c r="D80" s="25"/>
      <c r="E80" s="25" t="s">
        <v>146</v>
      </c>
      <c r="F80" s="36" t="s">
        <v>148</v>
      </c>
      <c r="G80" s="33">
        <v>0</v>
      </c>
      <c r="H80" s="24" t="s">
        <v>146</v>
      </c>
    </row>
    <row r="81" spans="1:8" x14ac:dyDescent="0.2">
      <c r="A81" s="25"/>
      <c r="B81" s="25"/>
      <c r="C81" s="34"/>
      <c r="D81" s="25"/>
      <c r="E81" s="25"/>
      <c r="F81" s="35"/>
      <c r="G81" s="35"/>
      <c r="H81" s="24" t="s">
        <v>146</v>
      </c>
    </row>
    <row r="82" spans="1:8" x14ac:dyDescent="0.2">
      <c r="A82" s="25"/>
      <c r="B82" s="25"/>
      <c r="C82" s="26" t="s">
        <v>151</v>
      </c>
      <c r="D82" s="25"/>
      <c r="E82" s="25"/>
      <c r="F82" s="35"/>
      <c r="G82" s="35"/>
      <c r="H82" s="24" t="s">
        <v>146</v>
      </c>
    </row>
    <row r="83" spans="1:8" x14ac:dyDescent="0.2">
      <c r="A83" s="25"/>
      <c r="B83" s="25"/>
      <c r="C83" s="26" t="s">
        <v>145</v>
      </c>
      <c r="D83" s="25"/>
      <c r="E83" s="25" t="s">
        <v>146</v>
      </c>
      <c r="F83" s="36" t="s">
        <v>148</v>
      </c>
      <c r="G83" s="33">
        <v>0</v>
      </c>
      <c r="H83" s="24" t="s">
        <v>146</v>
      </c>
    </row>
    <row r="84" spans="1:8" x14ac:dyDescent="0.2">
      <c r="A84" s="25"/>
      <c r="B84" s="25"/>
      <c r="C84" s="34"/>
      <c r="D84" s="25"/>
      <c r="E84" s="25"/>
      <c r="F84" s="35"/>
      <c r="G84" s="35"/>
      <c r="H84" s="24" t="s">
        <v>146</v>
      </c>
    </row>
    <row r="85" spans="1:8" x14ac:dyDescent="0.2">
      <c r="A85" s="25"/>
      <c r="B85" s="25"/>
      <c r="C85" s="26" t="s">
        <v>152</v>
      </c>
      <c r="D85" s="25"/>
      <c r="E85" s="25"/>
      <c r="F85" s="35"/>
      <c r="G85" s="35"/>
      <c r="H85" s="24" t="s">
        <v>146</v>
      </c>
    </row>
    <row r="86" spans="1:8" x14ac:dyDescent="0.2">
      <c r="A86" s="27">
        <v>1</v>
      </c>
      <c r="B86" s="28"/>
      <c r="C86" s="28" t="s">
        <v>940</v>
      </c>
      <c r="D86" s="28" t="s">
        <v>519</v>
      </c>
      <c r="E86" s="29">
        <v>-650</v>
      </c>
      <c r="F86" s="30">
        <v>-9.6619250000000001</v>
      </c>
      <c r="G86" s="31">
        <f>F86/$F$161</f>
        <v>-3.9411882458026621E-5</v>
      </c>
      <c r="H86" s="24" t="s">
        <v>146</v>
      </c>
    </row>
    <row r="87" spans="1:8" x14ac:dyDescent="0.2">
      <c r="A87" s="27">
        <v>2</v>
      </c>
      <c r="B87" s="28"/>
      <c r="C87" s="28" t="s">
        <v>1020</v>
      </c>
      <c r="D87" s="28" t="s">
        <v>519</v>
      </c>
      <c r="E87" s="29">
        <v>-525</v>
      </c>
      <c r="F87" s="30">
        <v>-46.7184375</v>
      </c>
      <c r="G87" s="31">
        <f t="shared" ref="G87:G101" si="0">F87/$F$161</f>
        <v>-1.9056881184367124E-4</v>
      </c>
      <c r="H87" s="24" t="s">
        <v>146</v>
      </c>
    </row>
    <row r="88" spans="1:8" x14ac:dyDescent="0.2">
      <c r="A88" s="27">
        <v>3</v>
      </c>
      <c r="B88" s="28"/>
      <c r="C88" s="28" t="s">
        <v>1021</v>
      </c>
      <c r="D88" s="28" t="s">
        <v>519</v>
      </c>
      <c r="E88" s="29">
        <v>-2275</v>
      </c>
      <c r="F88" s="30">
        <v>-118.73224999999999</v>
      </c>
      <c r="G88" s="31">
        <f t="shared" si="0"/>
        <v>-4.8431978937706836E-4</v>
      </c>
      <c r="H88" s="24" t="s">
        <v>146</v>
      </c>
    </row>
    <row r="89" spans="1:8" x14ac:dyDescent="0.2">
      <c r="A89" s="27">
        <v>4</v>
      </c>
      <c r="B89" s="28"/>
      <c r="C89" s="28" t="s">
        <v>946</v>
      </c>
      <c r="D89" s="28" t="s">
        <v>519</v>
      </c>
      <c r="E89" s="29">
        <v>-152000</v>
      </c>
      <c r="F89" s="30">
        <v>-154.7816</v>
      </c>
      <c r="G89" s="31">
        <f t="shared" si="0"/>
        <v>-6.3136841011136944E-4</v>
      </c>
      <c r="H89" s="24" t="s">
        <v>146</v>
      </c>
    </row>
    <row r="90" spans="1:8" x14ac:dyDescent="0.2">
      <c r="A90" s="27">
        <v>5</v>
      </c>
      <c r="B90" s="28"/>
      <c r="C90" s="28" t="s">
        <v>951</v>
      </c>
      <c r="D90" s="28" t="s">
        <v>519</v>
      </c>
      <c r="E90" s="29">
        <v>-6900</v>
      </c>
      <c r="F90" s="30">
        <v>-158.85525000000001</v>
      </c>
      <c r="G90" s="31">
        <f t="shared" si="0"/>
        <v>-6.4798520386366424E-4</v>
      </c>
      <c r="H90" s="24" t="s">
        <v>146</v>
      </c>
    </row>
    <row r="91" spans="1:8" x14ac:dyDescent="0.2">
      <c r="A91" s="27">
        <v>6</v>
      </c>
      <c r="B91" s="28"/>
      <c r="C91" s="28" t="s">
        <v>961</v>
      </c>
      <c r="D91" s="28" t="s">
        <v>519</v>
      </c>
      <c r="E91" s="29">
        <v>-24000</v>
      </c>
      <c r="F91" s="30">
        <v>-304.81200000000001</v>
      </c>
      <c r="G91" s="31">
        <f t="shared" si="0"/>
        <v>-1.2433562375816424E-3</v>
      </c>
      <c r="H91" s="24" t="s">
        <v>146</v>
      </c>
    </row>
    <row r="92" spans="1:8" x14ac:dyDescent="0.2">
      <c r="A92" s="27">
        <v>7</v>
      </c>
      <c r="B92" s="28"/>
      <c r="C92" s="28" t="s">
        <v>958</v>
      </c>
      <c r="D92" s="28" t="s">
        <v>519</v>
      </c>
      <c r="E92" s="29">
        <v>-51100</v>
      </c>
      <c r="F92" s="30">
        <v>-642.55695000000003</v>
      </c>
      <c r="G92" s="31">
        <f t="shared" si="0"/>
        <v>-2.6210490131095086E-3</v>
      </c>
      <c r="H92" s="24" t="s">
        <v>146</v>
      </c>
    </row>
    <row r="93" spans="1:8" x14ac:dyDescent="0.2">
      <c r="A93" s="27">
        <v>8</v>
      </c>
      <c r="B93" s="28"/>
      <c r="C93" s="28" t="s">
        <v>1022</v>
      </c>
      <c r="D93" s="28" t="s">
        <v>519</v>
      </c>
      <c r="E93" s="29">
        <v>-22500</v>
      </c>
      <c r="F93" s="30">
        <v>-888.88499999999999</v>
      </c>
      <c r="G93" s="31">
        <f t="shared" si="0"/>
        <v>-3.6258438291233881E-3</v>
      </c>
      <c r="H93" s="24" t="s">
        <v>146</v>
      </c>
    </row>
    <row r="94" spans="1:8" x14ac:dyDescent="0.2">
      <c r="A94" s="27">
        <v>9</v>
      </c>
      <c r="B94" s="28"/>
      <c r="C94" s="28" t="s">
        <v>941</v>
      </c>
      <c r="D94" s="28" t="s">
        <v>519</v>
      </c>
      <c r="E94" s="29">
        <v>-48800</v>
      </c>
      <c r="F94" s="30">
        <v>-932.64120000000003</v>
      </c>
      <c r="G94" s="31">
        <f t="shared" si="0"/>
        <v>-3.8043294012231415E-3</v>
      </c>
      <c r="H94" s="24" t="s">
        <v>146</v>
      </c>
    </row>
    <row r="95" spans="1:8" x14ac:dyDescent="0.2">
      <c r="A95" s="27">
        <v>10</v>
      </c>
      <c r="B95" s="28"/>
      <c r="C95" s="28" t="s">
        <v>945</v>
      </c>
      <c r="D95" s="28" t="s">
        <v>519</v>
      </c>
      <c r="E95" s="29">
        <v>-67450</v>
      </c>
      <c r="F95" s="30">
        <v>-1101.896925</v>
      </c>
      <c r="G95" s="31">
        <f t="shared" si="0"/>
        <v>-4.4947391010550152E-3</v>
      </c>
      <c r="H95" s="24" t="s">
        <v>146</v>
      </c>
    </row>
    <row r="96" spans="1:8" x14ac:dyDescent="0.2">
      <c r="A96" s="27">
        <v>11</v>
      </c>
      <c r="B96" s="28"/>
      <c r="C96" s="28" t="s">
        <v>953</v>
      </c>
      <c r="D96" s="28" t="s">
        <v>519</v>
      </c>
      <c r="E96" s="29">
        <v>-33900</v>
      </c>
      <c r="F96" s="30">
        <v>-1213.3657499999999</v>
      </c>
      <c r="G96" s="31">
        <f t="shared" si="0"/>
        <v>-4.9494307105049269E-3</v>
      </c>
      <c r="H96" s="24" t="s">
        <v>146</v>
      </c>
    </row>
    <row r="97" spans="1:8" x14ac:dyDescent="0.2">
      <c r="A97" s="27">
        <v>12</v>
      </c>
      <c r="B97" s="28"/>
      <c r="C97" s="28" t="s">
        <v>949</v>
      </c>
      <c r="D97" s="28" t="s">
        <v>519</v>
      </c>
      <c r="E97" s="29">
        <v>-131000</v>
      </c>
      <c r="F97" s="30">
        <v>-1307.3800000000001</v>
      </c>
      <c r="G97" s="31">
        <f t="shared" si="0"/>
        <v>-5.3329235000245659E-3</v>
      </c>
      <c r="H97" s="24" t="s">
        <v>146</v>
      </c>
    </row>
    <row r="98" spans="1:8" x14ac:dyDescent="0.2">
      <c r="A98" s="27">
        <v>13</v>
      </c>
      <c r="B98" s="28"/>
      <c r="C98" s="28" t="s">
        <v>988</v>
      </c>
      <c r="D98" s="28" t="s">
        <v>519</v>
      </c>
      <c r="E98" s="29">
        <v>-66850</v>
      </c>
      <c r="F98" s="30">
        <v>-1648.05305</v>
      </c>
      <c r="G98" s="31">
        <f t="shared" si="0"/>
        <v>-6.7225602652879494E-3</v>
      </c>
      <c r="H98" s="24" t="s">
        <v>146</v>
      </c>
    </row>
    <row r="99" spans="1:8" x14ac:dyDescent="0.2">
      <c r="A99" s="27">
        <v>14</v>
      </c>
      <c r="B99" s="28"/>
      <c r="C99" s="28" t="s">
        <v>954</v>
      </c>
      <c r="D99" s="28" t="s">
        <v>519</v>
      </c>
      <c r="E99" s="29">
        <v>-201875</v>
      </c>
      <c r="F99" s="30">
        <v>-1999.4709375</v>
      </c>
      <c r="G99" s="31">
        <f t="shared" si="0"/>
        <v>-8.1560262128913541E-3</v>
      </c>
      <c r="H99" s="24" t="s">
        <v>146</v>
      </c>
    </row>
    <row r="100" spans="1:8" x14ac:dyDescent="0.2">
      <c r="A100" s="27">
        <v>15</v>
      </c>
      <c r="B100" s="28"/>
      <c r="C100" s="28" t="s">
        <v>969</v>
      </c>
      <c r="D100" s="28" t="s">
        <v>519</v>
      </c>
      <c r="E100" s="29">
        <v>-166800</v>
      </c>
      <c r="F100" s="30">
        <v>-3149.3508000000002</v>
      </c>
      <c r="G100" s="31">
        <f t="shared" si="0"/>
        <v>-1.2846492137818511E-2</v>
      </c>
      <c r="H100" s="24" t="s">
        <v>146</v>
      </c>
    </row>
    <row r="101" spans="1:8" x14ac:dyDescent="0.2">
      <c r="A101" s="27">
        <v>16</v>
      </c>
      <c r="B101" s="28"/>
      <c r="C101" s="28" t="s">
        <v>932</v>
      </c>
      <c r="D101" s="28" t="s">
        <v>519</v>
      </c>
      <c r="E101" s="29">
        <v>-192500</v>
      </c>
      <c r="F101" s="30">
        <v>-5789.1487500000003</v>
      </c>
      <c r="G101" s="31">
        <f t="shared" si="0"/>
        <v>-2.3614471243259678E-2</v>
      </c>
      <c r="H101" s="24" t="s">
        <v>146</v>
      </c>
    </row>
    <row r="102" spans="1:8" x14ac:dyDescent="0.2">
      <c r="A102" s="25"/>
      <c r="B102" s="25"/>
      <c r="C102" s="26" t="s">
        <v>145</v>
      </c>
      <c r="D102" s="25"/>
      <c r="E102" s="25" t="s">
        <v>146</v>
      </c>
      <c r="F102" s="32">
        <v>-19466.310825</v>
      </c>
      <c r="G102" s="33">
        <v>-7.9404879999999997E-2</v>
      </c>
      <c r="H102" s="24" t="s">
        <v>146</v>
      </c>
    </row>
    <row r="103" spans="1:8" x14ac:dyDescent="0.2">
      <c r="A103" s="25"/>
      <c r="B103" s="25"/>
      <c r="C103" s="34"/>
      <c r="D103" s="25"/>
      <c r="E103" s="25"/>
      <c r="F103" s="35"/>
      <c r="G103" s="35"/>
      <c r="H103" s="24" t="s">
        <v>146</v>
      </c>
    </row>
    <row r="104" spans="1:8" x14ac:dyDescent="0.2">
      <c r="A104" s="25"/>
      <c r="B104" s="25"/>
      <c r="C104" s="26" t="s">
        <v>153</v>
      </c>
      <c r="D104" s="25"/>
      <c r="E104" s="25"/>
      <c r="F104" s="32">
        <f>F71</f>
        <v>160045.2076776</v>
      </c>
      <c r="G104" s="33">
        <f>G71</f>
        <v>0.65283919000000001</v>
      </c>
      <c r="H104" s="24" t="s">
        <v>146</v>
      </c>
    </row>
    <row r="105" spans="1:8" x14ac:dyDescent="0.2">
      <c r="A105" s="25"/>
      <c r="B105" s="25"/>
      <c r="C105" s="34"/>
      <c r="D105" s="25"/>
      <c r="E105" s="25"/>
      <c r="F105" s="35"/>
      <c r="G105" s="35"/>
      <c r="H105" s="24" t="s">
        <v>146</v>
      </c>
    </row>
    <row r="106" spans="1:8" x14ac:dyDescent="0.2">
      <c r="A106" s="25"/>
      <c r="B106" s="25"/>
      <c r="C106" s="26" t="s">
        <v>154</v>
      </c>
      <c r="D106" s="25"/>
      <c r="E106" s="25"/>
      <c r="F106" s="35"/>
      <c r="G106" s="35"/>
      <c r="H106" s="24" t="s">
        <v>146</v>
      </c>
    </row>
    <row r="107" spans="1:8" x14ac:dyDescent="0.2">
      <c r="A107" s="25"/>
      <c r="B107" s="25"/>
      <c r="C107" s="26" t="s">
        <v>10</v>
      </c>
      <c r="D107" s="25"/>
      <c r="E107" s="25"/>
      <c r="F107" s="35"/>
      <c r="G107" s="35"/>
      <c r="H107" s="24" t="s">
        <v>146</v>
      </c>
    </row>
    <row r="108" spans="1:8" x14ac:dyDescent="0.2">
      <c r="A108" s="25"/>
      <c r="B108" s="25"/>
      <c r="C108" s="26" t="s">
        <v>145</v>
      </c>
      <c r="D108" s="25"/>
      <c r="E108" s="25" t="s">
        <v>146</v>
      </c>
      <c r="F108" s="36" t="s">
        <v>148</v>
      </c>
      <c r="G108" s="33">
        <v>0</v>
      </c>
      <c r="H108" s="24" t="s">
        <v>146</v>
      </c>
    </row>
    <row r="109" spans="1:8" x14ac:dyDescent="0.2">
      <c r="A109" s="25"/>
      <c r="B109" s="25"/>
      <c r="C109" s="34"/>
      <c r="D109" s="25"/>
      <c r="E109" s="25"/>
      <c r="F109" s="35"/>
      <c r="G109" s="35"/>
      <c r="H109" s="24" t="s">
        <v>146</v>
      </c>
    </row>
    <row r="110" spans="1:8" x14ac:dyDescent="0.2">
      <c r="A110" s="25"/>
      <c r="B110" s="25"/>
      <c r="C110" s="26" t="s">
        <v>155</v>
      </c>
      <c r="D110" s="25"/>
      <c r="E110" s="25"/>
      <c r="F110" s="25"/>
      <c r="G110" s="25"/>
      <c r="H110" s="24" t="s">
        <v>146</v>
      </c>
    </row>
    <row r="111" spans="1:8" x14ac:dyDescent="0.2">
      <c r="A111" s="25"/>
      <c r="B111" s="25"/>
      <c r="C111" s="26" t="s">
        <v>145</v>
      </c>
      <c r="D111" s="25"/>
      <c r="E111" s="25" t="s">
        <v>146</v>
      </c>
      <c r="F111" s="36" t="s">
        <v>148</v>
      </c>
      <c r="G111" s="33">
        <v>0</v>
      </c>
      <c r="H111" s="24" t="s">
        <v>146</v>
      </c>
    </row>
    <row r="112" spans="1:8" x14ac:dyDescent="0.2">
      <c r="A112" s="25"/>
      <c r="B112" s="25"/>
      <c r="C112" s="34"/>
      <c r="D112" s="25"/>
      <c r="E112" s="25"/>
      <c r="F112" s="35"/>
      <c r="G112" s="35"/>
      <c r="H112" s="24" t="s">
        <v>146</v>
      </c>
    </row>
    <row r="113" spans="1:8" x14ac:dyDescent="0.2">
      <c r="A113" s="25"/>
      <c r="B113" s="25"/>
      <c r="C113" s="26" t="s">
        <v>156</v>
      </c>
      <c r="D113" s="25"/>
      <c r="E113" s="25"/>
      <c r="F113" s="25"/>
      <c r="G113" s="25"/>
      <c r="H113" s="24" t="s">
        <v>146</v>
      </c>
    </row>
    <row r="114" spans="1:8" ht="25.5" x14ac:dyDescent="0.2">
      <c r="A114" s="27">
        <v>1</v>
      </c>
      <c r="B114" s="28" t="s">
        <v>658</v>
      </c>
      <c r="C114" s="28" t="s">
        <v>1081</v>
      </c>
      <c r="D114" s="28" t="s">
        <v>521</v>
      </c>
      <c r="E114" s="29">
        <v>10500000</v>
      </c>
      <c r="F114" s="30">
        <v>10676.4105</v>
      </c>
      <c r="G114" s="31">
        <v>4.3550060000000002E-2</v>
      </c>
      <c r="H114" s="24">
        <v>6.7115999999999998</v>
      </c>
    </row>
    <row r="115" spans="1:8" ht="25.5" x14ac:dyDescent="0.2">
      <c r="A115" s="27">
        <v>2</v>
      </c>
      <c r="B115" s="28" t="s">
        <v>717</v>
      </c>
      <c r="C115" s="28" t="s">
        <v>1089</v>
      </c>
      <c r="D115" s="28" t="s">
        <v>521</v>
      </c>
      <c r="E115" s="29">
        <v>5000000</v>
      </c>
      <c r="F115" s="30">
        <v>5076.3</v>
      </c>
      <c r="G115" s="31">
        <v>2.0706700000000001E-2</v>
      </c>
      <c r="H115" s="24">
        <v>6.7359999999999998</v>
      </c>
    </row>
    <row r="116" spans="1:8" ht="25.5" x14ac:dyDescent="0.2">
      <c r="A116" s="27">
        <v>3</v>
      </c>
      <c r="B116" s="28" t="s">
        <v>610</v>
      </c>
      <c r="C116" s="28" t="s">
        <v>611</v>
      </c>
      <c r="D116" s="28" t="s">
        <v>521</v>
      </c>
      <c r="E116" s="29">
        <v>4500000</v>
      </c>
      <c r="F116" s="30">
        <v>4608.2879999999996</v>
      </c>
      <c r="G116" s="31">
        <v>1.8797629999999999E-2</v>
      </c>
      <c r="H116" s="24">
        <v>6.8559999999999999</v>
      </c>
    </row>
    <row r="117" spans="1:8" x14ac:dyDescent="0.2">
      <c r="A117" s="27">
        <v>4</v>
      </c>
      <c r="B117" s="28" t="s">
        <v>671</v>
      </c>
      <c r="C117" s="28" t="s">
        <v>1086</v>
      </c>
      <c r="D117" s="28" t="s">
        <v>521</v>
      </c>
      <c r="E117" s="29">
        <v>3000000</v>
      </c>
      <c r="F117" s="30">
        <v>3091.134</v>
      </c>
      <c r="G117" s="31">
        <v>1.260902E-2</v>
      </c>
      <c r="H117" s="24">
        <v>6.7865000000000002</v>
      </c>
    </row>
    <row r="118" spans="1:8" x14ac:dyDescent="0.2">
      <c r="A118" s="27">
        <v>5</v>
      </c>
      <c r="B118" s="28" t="s">
        <v>715</v>
      </c>
      <c r="C118" s="28" t="s">
        <v>716</v>
      </c>
      <c r="D118" s="28" t="s">
        <v>521</v>
      </c>
      <c r="E118" s="29">
        <v>500000</v>
      </c>
      <c r="F118" s="30">
        <v>512.04049999999995</v>
      </c>
      <c r="G118" s="31">
        <v>2.08866E-3</v>
      </c>
      <c r="H118" s="24">
        <v>6.7355999999999998</v>
      </c>
    </row>
    <row r="119" spans="1:8" x14ac:dyDescent="0.2">
      <c r="A119" s="27">
        <v>6</v>
      </c>
      <c r="B119" s="28" t="s">
        <v>843</v>
      </c>
      <c r="C119" s="28" t="s">
        <v>844</v>
      </c>
      <c r="D119" s="28" t="s">
        <v>521</v>
      </c>
      <c r="E119" s="29">
        <v>500000</v>
      </c>
      <c r="F119" s="30">
        <v>505.67099999999999</v>
      </c>
      <c r="G119" s="31">
        <v>2.0626799999999999E-3</v>
      </c>
      <c r="H119" s="24">
        <v>6.7324000000000002</v>
      </c>
    </row>
    <row r="120" spans="1:8" x14ac:dyDescent="0.2">
      <c r="A120" s="25"/>
      <c r="B120" s="25"/>
      <c r="C120" s="26" t="s">
        <v>145</v>
      </c>
      <c r="D120" s="25"/>
      <c r="E120" s="25" t="s">
        <v>146</v>
      </c>
      <c r="F120" s="32">
        <v>24469.844000000001</v>
      </c>
      <c r="G120" s="33">
        <v>9.9814749999999994E-2</v>
      </c>
      <c r="H120" s="24" t="s">
        <v>146</v>
      </c>
    </row>
    <row r="121" spans="1:8" x14ac:dyDescent="0.2">
      <c r="A121" s="25"/>
      <c r="B121" s="25"/>
      <c r="C121" s="34"/>
      <c r="D121" s="25"/>
      <c r="E121" s="25"/>
      <c r="F121" s="35"/>
      <c r="G121" s="35"/>
      <c r="H121" s="24" t="s">
        <v>146</v>
      </c>
    </row>
    <row r="122" spans="1:8" x14ac:dyDescent="0.2">
      <c r="A122" s="25"/>
      <c r="B122" s="25"/>
      <c r="C122" s="26" t="s">
        <v>157</v>
      </c>
      <c r="D122" s="25"/>
      <c r="E122" s="25"/>
      <c r="F122" s="35"/>
      <c r="G122" s="35"/>
      <c r="H122" s="24" t="s">
        <v>146</v>
      </c>
    </row>
    <row r="123" spans="1:8" x14ac:dyDescent="0.2">
      <c r="A123" s="25"/>
      <c r="B123" s="25"/>
      <c r="C123" s="26" t="s">
        <v>145</v>
      </c>
      <c r="D123" s="25"/>
      <c r="E123" s="25" t="s">
        <v>146</v>
      </c>
      <c r="F123" s="36" t="s">
        <v>148</v>
      </c>
      <c r="G123" s="33">
        <v>0</v>
      </c>
      <c r="H123" s="24" t="s">
        <v>146</v>
      </c>
    </row>
    <row r="124" spans="1:8" x14ac:dyDescent="0.2">
      <c r="A124" s="25"/>
      <c r="B124" s="25"/>
      <c r="C124" s="34"/>
      <c r="D124" s="25"/>
      <c r="E124" s="25"/>
      <c r="F124" s="35"/>
      <c r="G124" s="35"/>
      <c r="H124" s="24" t="s">
        <v>146</v>
      </c>
    </row>
    <row r="125" spans="1:8" x14ac:dyDescent="0.2">
      <c r="A125" s="25"/>
      <c r="B125" s="25"/>
      <c r="C125" s="26" t="s">
        <v>158</v>
      </c>
      <c r="D125" s="25"/>
      <c r="E125" s="25"/>
      <c r="F125" s="32">
        <v>24469.844000000001</v>
      </c>
      <c r="G125" s="33">
        <v>9.9814749999999994E-2</v>
      </c>
      <c r="H125" s="24" t="s">
        <v>146</v>
      </c>
    </row>
    <row r="126" spans="1:8" x14ac:dyDescent="0.2">
      <c r="A126" s="25"/>
      <c r="B126" s="25"/>
      <c r="C126" s="34"/>
      <c r="D126" s="25"/>
      <c r="E126" s="25"/>
      <c r="F126" s="35"/>
      <c r="G126" s="35"/>
      <c r="H126" s="24" t="s">
        <v>146</v>
      </c>
    </row>
    <row r="127" spans="1:8" x14ac:dyDescent="0.2">
      <c r="A127" s="25"/>
      <c r="B127" s="25"/>
      <c r="C127" s="26" t="s">
        <v>159</v>
      </c>
      <c r="D127" s="25"/>
      <c r="E127" s="25"/>
      <c r="F127" s="35"/>
      <c r="G127" s="35"/>
      <c r="H127" s="24" t="s">
        <v>146</v>
      </c>
    </row>
    <row r="128" spans="1:8" x14ac:dyDescent="0.2">
      <c r="A128" s="25"/>
      <c r="B128" s="25"/>
      <c r="C128" s="26" t="s">
        <v>160</v>
      </c>
      <c r="D128" s="25"/>
      <c r="E128" s="25"/>
      <c r="F128" s="35"/>
      <c r="G128" s="35"/>
      <c r="H128" s="24" t="s">
        <v>146</v>
      </c>
    </row>
    <row r="129" spans="1:8" x14ac:dyDescent="0.2">
      <c r="A129" s="25"/>
      <c r="B129" s="25"/>
      <c r="C129" s="26" t="s">
        <v>145</v>
      </c>
      <c r="D129" s="25"/>
      <c r="E129" s="25" t="s">
        <v>146</v>
      </c>
      <c r="F129" s="36" t="s">
        <v>148</v>
      </c>
      <c r="G129" s="33">
        <v>0</v>
      </c>
      <c r="H129" s="24" t="s">
        <v>146</v>
      </c>
    </row>
    <row r="130" spans="1:8" x14ac:dyDescent="0.2">
      <c r="A130" s="25"/>
      <c r="B130" s="25"/>
      <c r="C130" s="34"/>
      <c r="D130" s="25"/>
      <c r="E130" s="25"/>
      <c r="F130" s="35"/>
      <c r="G130" s="35"/>
      <c r="H130" s="24" t="s">
        <v>146</v>
      </c>
    </row>
    <row r="131" spans="1:8" x14ac:dyDescent="0.2">
      <c r="A131" s="25"/>
      <c r="B131" s="25"/>
      <c r="C131" s="26" t="s">
        <v>161</v>
      </c>
      <c r="D131" s="25"/>
      <c r="E131" s="25"/>
      <c r="F131" s="35"/>
      <c r="G131" s="35"/>
      <c r="H131" s="24" t="s">
        <v>146</v>
      </c>
    </row>
    <row r="132" spans="1:8" x14ac:dyDescent="0.2">
      <c r="A132" s="25"/>
      <c r="B132" s="25"/>
      <c r="C132" s="26" t="s">
        <v>145</v>
      </c>
      <c r="D132" s="25"/>
      <c r="E132" s="25" t="s">
        <v>146</v>
      </c>
      <c r="F132" s="36" t="s">
        <v>148</v>
      </c>
      <c r="G132" s="33">
        <v>0</v>
      </c>
      <c r="H132" s="24" t="s">
        <v>146</v>
      </c>
    </row>
    <row r="133" spans="1:8" x14ac:dyDescent="0.2">
      <c r="A133" s="25"/>
      <c r="B133" s="25"/>
      <c r="C133" s="34"/>
      <c r="D133" s="25"/>
      <c r="E133" s="25"/>
      <c r="F133" s="35"/>
      <c r="G133" s="35"/>
      <c r="H133" s="24" t="s">
        <v>146</v>
      </c>
    </row>
    <row r="134" spans="1:8" x14ac:dyDescent="0.2">
      <c r="A134" s="25"/>
      <c r="B134" s="25"/>
      <c r="C134" s="26" t="s">
        <v>162</v>
      </c>
      <c r="D134" s="25"/>
      <c r="E134" s="25"/>
      <c r="F134" s="35"/>
      <c r="G134" s="35"/>
      <c r="H134" s="24" t="s">
        <v>146</v>
      </c>
    </row>
    <row r="135" spans="1:8" x14ac:dyDescent="0.2">
      <c r="A135" s="25"/>
      <c r="B135" s="25"/>
      <c r="C135" s="26" t="s">
        <v>145</v>
      </c>
      <c r="D135" s="25"/>
      <c r="E135" s="25" t="s">
        <v>146</v>
      </c>
      <c r="F135" s="36" t="s">
        <v>148</v>
      </c>
      <c r="G135" s="33">
        <v>0</v>
      </c>
      <c r="H135" s="24" t="s">
        <v>146</v>
      </c>
    </row>
    <row r="136" spans="1:8" x14ac:dyDescent="0.2">
      <c r="A136" s="25"/>
      <c r="B136" s="25"/>
      <c r="C136" s="34"/>
      <c r="D136" s="25"/>
      <c r="E136" s="25"/>
      <c r="F136" s="35"/>
      <c r="G136" s="35"/>
      <c r="H136" s="24" t="s">
        <v>146</v>
      </c>
    </row>
    <row r="137" spans="1:8" x14ac:dyDescent="0.2">
      <c r="A137" s="25"/>
      <c r="B137" s="25"/>
      <c r="C137" s="26" t="s">
        <v>163</v>
      </c>
      <c r="D137" s="25"/>
      <c r="E137" s="25"/>
      <c r="F137" s="35"/>
      <c r="G137" s="35"/>
      <c r="H137" s="24" t="s">
        <v>146</v>
      </c>
    </row>
    <row r="138" spans="1:8" x14ac:dyDescent="0.2">
      <c r="A138" s="27">
        <v>1</v>
      </c>
      <c r="B138" s="28"/>
      <c r="C138" s="28" t="s">
        <v>164</v>
      </c>
      <c r="D138" s="28"/>
      <c r="E138" s="38"/>
      <c r="F138" s="30">
        <v>912.86212209899998</v>
      </c>
      <c r="G138" s="31">
        <v>3.7236499999999998E-3</v>
      </c>
      <c r="H138" s="24">
        <v>6.57</v>
      </c>
    </row>
    <row r="139" spans="1:8" x14ac:dyDescent="0.2">
      <c r="A139" s="25"/>
      <c r="B139" s="25"/>
      <c r="C139" s="26" t="s">
        <v>145</v>
      </c>
      <c r="D139" s="25"/>
      <c r="E139" s="25" t="s">
        <v>146</v>
      </c>
      <c r="F139" s="32">
        <v>912.86212209899998</v>
      </c>
      <c r="G139" s="33">
        <v>3.7236499999999998E-3</v>
      </c>
      <c r="H139" s="24" t="s">
        <v>146</v>
      </c>
    </row>
    <row r="140" spans="1:8" x14ac:dyDescent="0.2">
      <c r="A140" s="25"/>
      <c r="B140" s="25"/>
      <c r="C140" s="34"/>
      <c r="D140" s="25"/>
      <c r="E140" s="25"/>
      <c r="F140" s="35"/>
      <c r="G140" s="35"/>
      <c r="H140" s="24" t="s">
        <v>146</v>
      </c>
    </row>
    <row r="141" spans="1:8" x14ac:dyDescent="0.2">
      <c r="A141" s="25"/>
      <c r="B141" s="25"/>
      <c r="C141" s="26" t="s">
        <v>165</v>
      </c>
      <c r="D141" s="25"/>
      <c r="E141" s="25"/>
      <c r="F141" s="32">
        <v>912.86212209899998</v>
      </c>
      <c r="G141" s="33">
        <v>3.7236499999999998E-3</v>
      </c>
      <c r="H141" s="24" t="s">
        <v>146</v>
      </c>
    </row>
    <row r="142" spans="1:8" x14ac:dyDescent="0.2">
      <c r="A142" s="25"/>
      <c r="B142" s="25"/>
      <c r="C142" s="35"/>
      <c r="D142" s="25"/>
      <c r="E142" s="25"/>
      <c r="F142" s="25"/>
      <c r="G142" s="25"/>
      <c r="H142" s="24" t="s">
        <v>146</v>
      </c>
    </row>
    <row r="143" spans="1:8" x14ac:dyDescent="0.2">
      <c r="A143" s="25"/>
      <c r="B143" s="25"/>
      <c r="C143" s="26" t="s">
        <v>166</v>
      </c>
      <c r="D143" s="25"/>
      <c r="E143" s="25"/>
      <c r="F143" s="25"/>
      <c r="G143" s="25"/>
      <c r="H143" s="24" t="s">
        <v>146</v>
      </c>
    </row>
    <row r="144" spans="1:8" x14ac:dyDescent="0.2">
      <c r="A144" s="25"/>
      <c r="B144" s="25"/>
      <c r="C144" s="26" t="s">
        <v>167</v>
      </c>
      <c r="D144" s="25"/>
      <c r="E144" s="25"/>
      <c r="F144" s="25"/>
      <c r="G144" s="25"/>
      <c r="H144" s="24" t="s">
        <v>146</v>
      </c>
    </row>
    <row r="145" spans="1:8" x14ac:dyDescent="0.2">
      <c r="A145" s="27">
        <v>1</v>
      </c>
      <c r="B145" s="28" t="s">
        <v>845</v>
      </c>
      <c r="C145" s="28" t="s">
        <v>846</v>
      </c>
      <c r="D145" s="28"/>
      <c r="E145" s="70">
        <v>24193005</v>
      </c>
      <c r="F145" s="30">
        <v>16712.527854</v>
      </c>
      <c r="G145" s="31">
        <v>6.817194E-2</v>
      </c>
      <c r="H145" s="24" t="s">
        <v>146</v>
      </c>
    </row>
    <row r="146" spans="1:8" x14ac:dyDescent="0.2">
      <c r="A146" s="27">
        <v>2</v>
      </c>
      <c r="B146" s="28" t="s">
        <v>847</v>
      </c>
      <c r="C146" s="28" t="s">
        <v>848</v>
      </c>
      <c r="D146" s="28"/>
      <c r="E146" s="70">
        <v>23099691</v>
      </c>
      <c r="F146" s="30">
        <v>16435.430146499999</v>
      </c>
      <c r="G146" s="31">
        <v>6.7041630000000005E-2</v>
      </c>
      <c r="H146" s="24" t="s">
        <v>146</v>
      </c>
    </row>
    <row r="147" spans="1:8" x14ac:dyDescent="0.2">
      <c r="A147" s="27">
        <v>3</v>
      </c>
      <c r="B147" s="28" t="s">
        <v>849</v>
      </c>
      <c r="C147" s="28" t="s">
        <v>850</v>
      </c>
      <c r="D147" s="28"/>
      <c r="E147" s="70">
        <v>18632788</v>
      </c>
      <c r="F147" s="30">
        <v>13229.279479999999</v>
      </c>
      <c r="G147" s="31">
        <v>5.3963450000000003E-2</v>
      </c>
      <c r="H147" s="24" t="s">
        <v>146</v>
      </c>
    </row>
    <row r="148" spans="1:8" ht="25.5" x14ac:dyDescent="0.2">
      <c r="A148" s="27">
        <v>4</v>
      </c>
      <c r="B148" s="28" t="s">
        <v>851</v>
      </c>
      <c r="C148" s="28" t="s">
        <v>852</v>
      </c>
      <c r="D148" s="28"/>
      <c r="E148" s="70">
        <v>13860861</v>
      </c>
      <c r="F148" s="30">
        <v>9634.6844810999992</v>
      </c>
      <c r="G148" s="31">
        <v>3.9300769999999999E-2</v>
      </c>
      <c r="H148" s="24" t="s">
        <v>146</v>
      </c>
    </row>
    <row r="149" spans="1:8" x14ac:dyDescent="0.2">
      <c r="A149" s="27">
        <v>5</v>
      </c>
      <c r="B149" s="28" t="s">
        <v>853</v>
      </c>
      <c r="C149" s="28" t="s">
        <v>854</v>
      </c>
      <c r="D149" s="28"/>
      <c r="E149" s="70">
        <v>4448000</v>
      </c>
      <c r="F149" s="30">
        <v>3597.5423999999998</v>
      </c>
      <c r="G149" s="31">
        <v>1.4674710000000001E-2</v>
      </c>
      <c r="H149" s="24" t="s">
        <v>146</v>
      </c>
    </row>
    <row r="150" spans="1:8" x14ac:dyDescent="0.2">
      <c r="A150" s="25"/>
      <c r="B150" s="25"/>
      <c r="C150" s="26" t="s">
        <v>145</v>
      </c>
      <c r="D150" s="25"/>
      <c r="E150" s="25" t="s">
        <v>146</v>
      </c>
      <c r="F150" s="32">
        <v>59609.464361600003</v>
      </c>
      <c r="G150" s="33">
        <v>0.24315249999999999</v>
      </c>
      <c r="H150" s="24" t="s">
        <v>146</v>
      </c>
    </row>
    <row r="151" spans="1:8" x14ac:dyDescent="0.2">
      <c r="A151" s="25"/>
      <c r="B151" s="25"/>
      <c r="C151" s="34"/>
      <c r="D151" s="25"/>
      <c r="E151" s="25"/>
      <c r="F151" s="35"/>
      <c r="G151" s="35"/>
      <c r="H151" s="24" t="s">
        <v>146</v>
      </c>
    </row>
    <row r="152" spans="1:8" x14ac:dyDescent="0.2">
      <c r="A152" s="25"/>
      <c r="B152" s="25"/>
      <c r="C152" s="26" t="s">
        <v>168</v>
      </c>
      <c r="D152" s="25"/>
      <c r="E152" s="25"/>
      <c r="F152" s="25"/>
      <c r="G152" s="25"/>
      <c r="H152" s="24" t="s">
        <v>146</v>
      </c>
    </row>
    <row r="153" spans="1:8" x14ac:dyDescent="0.2">
      <c r="A153" s="25"/>
      <c r="B153" s="25"/>
      <c r="C153" s="26" t="s">
        <v>169</v>
      </c>
      <c r="D153" s="25"/>
      <c r="E153" s="25"/>
      <c r="F153" s="25"/>
      <c r="G153" s="25"/>
      <c r="H153" s="24" t="s">
        <v>146</v>
      </c>
    </row>
    <row r="154" spans="1:8" x14ac:dyDescent="0.2">
      <c r="A154" s="25"/>
      <c r="B154" s="25"/>
      <c r="C154" s="26" t="s">
        <v>145</v>
      </c>
      <c r="D154" s="25"/>
      <c r="E154" s="25" t="s">
        <v>146</v>
      </c>
      <c r="F154" s="36" t="s">
        <v>148</v>
      </c>
      <c r="G154" s="33">
        <v>0</v>
      </c>
      <c r="H154" s="24" t="s">
        <v>146</v>
      </c>
    </row>
    <row r="155" spans="1:8" x14ac:dyDescent="0.2">
      <c r="A155" s="25"/>
      <c r="B155" s="25"/>
      <c r="C155" s="34"/>
      <c r="D155" s="25"/>
      <c r="E155" s="25"/>
      <c r="F155" s="35"/>
      <c r="G155" s="35"/>
      <c r="H155" s="24" t="s">
        <v>146</v>
      </c>
    </row>
    <row r="156" spans="1:8" x14ac:dyDescent="0.2">
      <c r="A156" s="25"/>
      <c r="B156" s="25"/>
      <c r="C156" s="26" t="s">
        <v>170</v>
      </c>
      <c r="D156" s="25"/>
      <c r="E156" s="25"/>
      <c r="F156" s="35"/>
      <c r="G156" s="35"/>
      <c r="H156" s="24" t="s">
        <v>146</v>
      </c>
    </row>
    <row r="157" spans="1:8" x14ac:dyDescent="0.2">
      <c r="A157" s="25"/>
      <c r="B157" s="25"/>
      <c r="C157" s="26" t="s">
        <v>145</v>
      </c>
      <c r="D157" s="25"/>
      <c r="E157" s="25" t="s">
        <v>146</v>
      </c>
      <c r="F157" s="36" t="s">
        <v>148</v>
      </c>
      <c r="G157" s="33">
        <v>0</v>
      </c>
      <c r="H157" s="24" t="s">
        <v>146</v>
      </c>
    </row>
    <row r="158" spans="1:8" x14ac:dyDescent="0.2">
      <c r="A158" s="25"/>
      <c r="B158" s="25"/>
      <c r="C158" s="34"/>
      <c r="D158" s="25"/>
      <c r="E158" s="25"/>
      <c r="F158" s="35"/>
      <c r="G158" s="35"/>
      <c r="H158" s="24" t="s">
        <v>146</v>
      </c>
    </row>
    <row r="159" spans="1:8" x14ac:dyDescent="0.2">
      <c r="A159" s="38"/>
      <c r="B159" s="28"/>
      <c r="C159" s="28" t="s">
        <v>522</v>
      </c>
      <c r="D159" s="28"/>
      <c r="E159" s="38"/>
      <c r="F159" s="30">
        <v>-68.217789300000007</v>
      </c>
      <c r="G159" s="31">
        <v>-2.7827E-4</v>
      </c>
      <c r="H159" s="24" t="s">
        <v>146</v>
      </c>
    </row>
    <row r="160" spans="1:8" x14ac:dyDescent="0.2">
      <c r="A160" s="38"/>
      <c r="B160" s="28"/>
      <c r="C160" s="37" t="s">
        <v>884</v>
      </c>
      <c r="D160" s="28"/>
      <c r="E160" s="38"/>
      <c r="F160" s="30">
        <f>19649.73889609+F102</f>
        <v>183.42807108999841</v>
      </c>
      <c r="G160" s="31">
        <f>F160/F161</f>
        <v>7.4822000556841093E-4</v>
      </c>
      <c r="H160" s="24" t="s">
        <v>146</v>
      </c>
    </row>
    <row r="161" spans="1:17" x14ac:dyDescent="0.2">
      <c r="A161" s="34"/>
      <c r="B161" s="34"/>
      <c r="C161" s="26" t="s">
        <v>172</v>
      </c>
      <c r="D161" s="35"/>
      <c r="E161" s="35"/>
      <c r="F161" s="32">
        <f>F160+F159+F150+F141+F125+F104</f>
        <v>245152.58844308901</v>
      </c>
      <c r="G161" s="39">
        <f>G160+G159+G150+G141+G125+G104</f>
        <v>1.0000000400055684</v>
      </c>
      <c r="H161" s="24" t="s">
        <v>146</v>
      </c>
    </row>
    <row r="162" spans="1:17" x14ac:dyDescent="0.2">
      <c r="A162" s="40"/>
      <c r="B162" s="40"/>
      <c r="C162" s="40"/>
      <c r="D162" s="41"/>
      <c r="E162" s="41"/>
      <c r="F162" s="41"/>
      <c r="G162" s="41"/>
    </row>
    <row r="163" spans="1:17" x14ac:dyDescent="0.2">
      <c r="A163" s="42"/>
      <c r="B163" s="236" t="s">
        <v>858</v>
      </c>
      <c r="C163" s="236"/>
      <c r="D163" s="236"/>
      <c r="E163" s="236"/>
      <c r="F163" s="236"/>
      <c r="G163" s="236"/>
      <c r="H163" s="236"/>
      <c r="J163" s="44"/>
    </row>
    <row r="164" spans="1:17" x14ac:dyDescent="0.2">
      <c r="A164" s="42"/>
      <c r="B164" s="236" t="s">
        <v>859</v>
      </c>
      <c r="C164" s="236"/>
      <c r="D164" s="236"/>
      <c r="E164" s="236"/>
      <c r="F164" s="236"/>
      <c r="G164" s="236"/>
      <c r="H164" s="236"/>
      <c r="J164" s="44"/>
    </row>
    <row r="165" spans="1:17" x14ac:dyDescent="0.2">
      <c r="A165" s="42"/>
      <c r="B165" s="236" t="s">
        <v>860</v>
      </c>
      <c r="C165" s="236"/>
      <c r="D165" s="236"/>
      <c r="E165" s="236"/>
      <c r="F165" s="236"/>
      <c r="G165" s="236"/>
      <c r="H165" s="236"/>
      <c r="J165" s="44"/>
    </row>
    <row r="166" spans="1:17" s="46" customFormat="1" ht="65.25" customHeight="1" x14ac:dyDescent="0.25">
      <c r="A166" s="45"/>
      <c r="B166" s="237" t="s">
        <v>861</v>
      </c>
      <c r="C166" s="237"/>
      <c r="D166" s="237"/>
      <c r="E166" s="237"/>
      <c r="F166" s="237"/>
      <c r="G166" s="237"/>
      <c r="H166" s="237"/>
      <c r="I166"/>
      <c r="J166" s="44"/>
      <c r="K166"/>
      <c r="L166"/>
      <c r="M166"/>
      <c r="N166"/>
      <c r="O166"/>
      <c r="P166"/>
      <c r="Q166"/>
    </row>
    <row r="167" spans="1:17" x14ac:dyDescent="0.2">
      <c r="A167" s="42"/>
      <c r="B167" s="236" t="s">
        <v>862</v>
      </c>
      <c r="C167" s="236"/>
      <c r="D167" s="236"/>
      <c r="E167" s="236"/>
      <c r="F167" s="236"/>
      <c r="G167" s="236"/>
      <c r="H167" s="236"/>
      <c r="J167" s="44"/>
    </row>
    <row r="168" spans="1:17" x14ac:dyDescent="0.2">
      <c r="A168" s="47"/>
      <c r="B168" s="47"/>
      <c r="C168" s="47"/>
      <c r="D168" s="48"/>
      <c r="E168" s="48"/>
      <c r="F168" s="48"/>
      <c r="G168" s="48"/>
    </row>
    <row r="169" spans="1:17" x14ac:dyDescent="0.2">
      <c r="A169" s="47"/>
      <c r="B169" s="233" t="s">
        <v>173</v>
      </c>
      <c r="C169" s="234"/>
      <c r="D169" s="235"/>
      <c r="E169" s="49"/>
      <c r="F169" s="48"/>
      <c r="G169" s="48"/>
    </row>
    <row r="170" spans="1:17" ht="27.75" customHeight="1" x14ac:dyDescent="0.2">
      <c r="A170" s="47"/>
      <c r="B170" s="231" t="s">
        <v>174</v>
      </c>
      <c r="C170" s="232"/>
      <c r="D170" s="26" t="s">
        <v>175</v>
      </c>
      <c r="E170" s="49"/>
      <c r="F170" s="48"/>
      <c r="G170" s="48"/>
    </row>
    <row r="171" spans="1:17" x14ac:dyDescent="0.2">
      <c r="A171" s="47"/>
      <c r="B171" s="231" t="s">
        <v>863</v>
      </c>
      <c r="C171" s="232"/>
      <c r="D171" s="26" t="s">
        <v>175</v>
      </c>
      <c r="E171" s="49"/>
      <c r="F171" s="48"/>
      <c r="G171" s="48"/>
    </row>
    <row r="172" spans="1:17" x14ac:dyDescent="0.2">
      <c r="A172" s="47"/>
      <c r="B172" s="231" t="s">
        <v>176</v>
      </c>
      <c r="C172" s="232"/>
      <c r="D172" s="35" t="s">
        <v>146</v>
      </c>
      <c r="E172" s="49"/>
      <c r="F172" s="48"/>
      <c r="G172" s="48"/>
    </row>
    <row r="173" spans="1:17" x14ac:dyDescent="0.2">
      <c r="A173" s="53"/>
      <c r="B173" s="54" t="s">
        <v>146</v>
      </c>
      <c r="C173" s="54" t="s">
        <v>864</v>
      </c>
      <c r="D173" s="54" t="s">
        <v>177</v>
      </c>
      <c r="E173" s="53"/>
      <c r="F173" s="53"/>
      <c r="G173" s="53"/>
      <c r="H173" s="53"/>
      <c r="J173" s="44"/>
    </row>
    <row r="174" spans="1:17" x14ac:dyDescent="0.2">
      <c r="A174" s="53"/>
      <c r="B174" s="55" t="s">
        <v>178</v>
      </c>
      <c r="C174" s="56">
        <v>45657</v>
      </c>
      <c r="D174" s="56">
        <v>45688</v>
      </c>
      <c r="E174" s="53"/>
      <c r="F174" s="53"/>
      <c r="G174" s="53"/>
      <c r="J174" s="44"/>
    </row>
    <row r="175" spans="1:17" x14ac:dyDescent="0.2">
      <c r="A175" s="57"/>
      <c r="B175" s="28" t="s">
        <v>179</v>
      </c>
      <c r="C175" s="58">
        <v>11.350899999999999</v>
      </c>
      <c r="D175" s="58">
        <v>11.4153</v>
      </c>
      <c r="E175" s="57"/>
      <c r="F175" s="59"/>
      <c r="G175" s="60"/>
    </row>
    <row r="176" spans="1:17" x14ac:dyDescent="0.2">
      <c r="A176" s="57"/>
      <c r="B176" s="28" t="s">
        <v>1025</v>
      </c>
      <c r="C176" s="58">
        <v>11.350899999999999</v>
      </c>
      <c r="D176" s="58">
        <v>11.4153</v>
      </c>
      <c r="E176" s="57"/>
      <c r="F176" s="59"/>
      <c r="G176" s="60"/>
    </row>
    <row r="177" spans="1:7" x14ac:dyDescent="0.2">
      <c r="A177" s="57"/>
      <c r="B177" s="28" t="s">
        <v>180</v>
      </c>
      <c r="C177" s="58">
        <v>11.171200000000001</v>
      </c>
      <c r="D177" s="58">
        <v>11.2189</v>
      </c>
      <c r="E177" s="57"/>
      <c r="F177" s="59"/>
      <c r="G177" s="60"/>
    </row>
    <row r="178" spans="1:7" x14ac:dyDescent="0.2">
      <c r="A178" s="57"/>
      <c r="B178" s="28" t="s">
        <v>1026</v>
      </c>
      <c r="C178" s="58">
        <v>11.171200000000001</v>
      </c>
      <c r="D178" s="58">
        <v>11.2189</v>
      </c>
      <c r="E178" s="57"/>
      <c r="F178" s="59"/>
      <c r="G178" s="60"/>
    </row>
    <row r="179" spans="1:7" x14ac:dyDescent="0.2">
      <c r="A179" s="57"/>
      <c r="B179" s="57"/>
      <c r="C179" s="57"/>
      <c r="D179" s="57"/>
      <c r="E179" s="57"/>
      <c r="F179" s="57"/>
      <c r="G179" s="57"/>
    </row>
    <row r="180" spans="1:7" x14ac:dyDescent="0.2">
      <c r="A180" s="53"/>
      <c r="B180" s="227" t="s">
        <v>865</v>
      </c>
      <c r="C180" s="228"/>
      <c r="D180" s="50" t="s">
        <v>175</v>
      </c>
      <c r="E180" s="53"/>
      <c r="F180" s="53"/>
      <c r="G180" s="53"/>
    </row>
    <row r="181" spans="1:7" x14ac:dyDescent="0.2">
      <c r="A181" s="53"/>
      <c r="B181" s="74"/>
      <c r="C181" s="74"/>
      <c r="D181" s="74"/>
      <c r="E181" s="53"/>
      <c r="F181" s="53"/>
      <c r="G181" s="53"/>
    </row>
    <row r="182" spans="1:7" ht="29.1" customHeight="1" x14ac:dyDescent="0.2">
      <c r="A182" s="53"/>
      <c r="B182" s="227" t="s">
        <v>181</v>
      </c>
      <c r="C182" s="228"/>
      <c r="D182" s="50" t="s">
        <v>895</v>
      </c>
      <c r="E182" s="64"/>
      <c r="F182" s="53"/>
      <c r="G182" s="53"/>
    </row>
    <row r="183" spans="1:7" ht="29.1" customHeight="1" x14ac:dyDescent="0.2">
      <c r="A183" s="53"/>
      <c r="B183" s="227" t="s">
        <v>182</v>
      </c>
      <c r="C183" s="228"/>
      <c r="D183" s="50" t="s">
        <v>175</v>
      </c>
      <c r="E183" s="64"/>
      <c r="F183" s="53"/>
      <c r="G183" s="53"/>
    </row>
    <row r="184" spans="1:7" ht="17.100000000000001" customHeight="1" x14ac:dyDescent="0.2">
      <c r="A184" s="53"/>
      <c r="B184" s="227" t="s">
        <v>183</v>
      </c>
      <c r="C184" s="228"/>
      <c r="D184" s="50" t="s">
        <v>175</v>
      </c>
      <c r="E184" s="64"/>
      <c r="F184" s="53"/>
      <c r="G184" s="53"/>
    </row>
    <row r="185" spans="1:7" ht="17.100000000000001" customHeight="1" x14ac:dyDescent="0.2">
      <c r="A185" s="53"/>
      <c r="B185" s="227" t="s">
        <v>184</v>
      </c>
      <c r="C185" s="228"/>
      <c r="D185" s="65">
        <v>1.9649479764371784</v>
      </c>
      <c r="E185" s="53"/>
      <c r="F185" s="43"/>
      <c r="G185" s="63"/>
    </row>
    <row r="187" spans="1:7" x14ac:dyDescent="0.2">
      <c r="B187" s="256" t="s">
        <v>915</v>
      </c>
      <c r="C187" s="257"/>
      <c r="D187" s="258"/>
    </row>
    <row r="188" spans="1:7" ht="38.25" x14ac:dyDescent="0.2">
      <c r="B188" s="259" t="s">
        <v>916</v>
      </c>
      <c r="C188" s="259"/>
      <c r="D188" s="138" t="s">
        <v>840</v>
      </c>
    </row>
    <row r="189" spans="1:7" x14ac:dyDescent="0.2">
      <c r="B189" s="259" t="s">
        <v>917</v>
      </c>
      <c r="C189" s="259"/>
      <c r="D189" s="115"/>
    </row>
    <row r="190" spans="1:7" x14ac:dyDescent="0.2">
      <c r="B190" s="260"/>
      <c r="C190" s="261"/>
      <c r="D190" s="108"/>
    </row>
    <row r="191" spans="1:7" x14ac:dyDescent="0.2">
      <c r="B191" s="259" t="s">
        <v>918</v>
      </c>
      <c r="C191" s="259"/>
      <c r="D191" s="109">
        <v>6.7506867951663105</v>
      </c>
    </row>
    <row r="192" spans="1:7" x14ac:dyDescent="0.2">
      <c r="B192" s="260"/>
      <c r="C192" s="261"/>
      <c r="D192" s="108"/>
    </row>
    <row r="193" spans="2:10" x14ac:dyDescent="0.2">
      <c r="B193" s="259" t="s">
        <v>919</v>
      </c>
      <c r="C193" s="259"/>
      <c r="D193" s="109">
        <v>3.6362149164687381</v>
      </c>
    </row>
    <row r="194" spans="2:10" x14ac:dyDescent="0.2">
      <c r="B194" s="259" t="s">
        <v>920</v>
      </c>
      <c r="C194" s="259"/>
      <c r="D194" s="109">
        <v>4.3999906588606992</v>
      </c>
    </row>
    <row r="195" spans="2:10" x14ac:dyDescent="0.2">
      <c r="B195" s="260"/>
      <c r="C195" s="261"/>
      <c r="D195" s="108"/>
    </row>
    <row r="196" spans="2:10" x14ac:dyDescent="0.2">
      <c r="B196" s="259" t="s">
        <v>921</v>
      </c>
      <c r="C196" s="259"/>
      <c r="D196" s="111" t="s">
        <v>924</v>
      </c>
    </row>
    <row r="197" spans="2:10" x14ac:dyDescent="0.2">
      <c r="B197" s="260" t="s">
        <v>922</v>
      </c>
      <c r="C197" s="262"/>
      <c r="D197" s="261"/>
    </row>
    <row r="199" spans="2:10" x14ac:dyDescent="0.2">
      <c r="B199" s="229" t="s">
        <v>866</v>
      </c>
      <c r="C199" s="229"/>
    </row>
    <row r="201" spans="2:10" ht="153.75" customHeight="1" x14ac:dyDescent="0.2"/>
    <row r="204" spans="2:10" x14ac:dyDescent="0.2">
      <c r="B204" s="66" t="s">
        <v>867</v>
      </c>
      <c r="C204" s="67"/>
      <c r="D204" s="66"/>
    </row>
    <row r="205" spans="2:10" x14ac:dyDescent="0.2">
      <c r="B205" s="66" t="s">
        <v>1023</v>
      </c>
      <c r="D205" s="66"/>
    </row>
    <row r="206" spans="2:10" ht="165" customHeight="1" x14ac:dyDescent="0.2"/>
    <row r="208" spans="2:10" x14ac:dyDescent="0.2">
      <c r="J208" s="21"/>
    </row>
  </sheetData>
  <mergeCells count="29">
    <mergeCell ref="B199:C199"/>
    <mergeCell ref="B193:C193"/>
    <mergeCell ref="B194:C194"/>
    <mergeCell ref="B195:C195"/>
    <mergeCell ref="B196:C196"/>
    <mergeCell ref="B197:D197"/>
    <mergeCell ref="B187:D187"/>
    <mergeCell ref="B189:C189"/>
    <mergeCell ref="B190:C190"/>
    <mergeCell ref="B191:C191"/>
    <mergeCell ref="B192:C192"/>
    <mergeCell ref="B188:C188"/>
    <mergeCell ref="A1:H1"/>
    <mergeCell ref="A2:H2"/>
    <mergeCell ref="A3:H3"/>
    <mergeCell ref="B171:C171"/>
    <mergeCell ref="B172:C172"/>
    <mergeCell ref="B165:H165"/>
    <mergeCell ref="B166:H166"/>
    <mergeCell ref="B167:H167"/>
    <mergeCell ref="B184:C184"/>
    <mergeCell ref="B185:C185"/>
    <mergeCell ref="B169:D169"/>
    <mergeCell ref="B170:C170"/>
    <mergeCell ref="B163:H163"/>
    <mergeCell ref="B164:H164"/>
    <mergeCell ref="B182:C182"/>
    <mergeCell ref="B183:C183"/>
    <mergeCell ref="B180:C180"/>
  </mergeCells>
  <hyperlinks>
    <hyperlink ref="I1" location="Index!B2" display="Index" xr:uid="{79F5AE48-334B-4E11-8FD2-2AE7B4B3987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DCC1E-367A-4A10-8B47-1356D2D8FA5C}">
  <sheetPr>
    <pageSetUpPr fitToPage="1"/>
  </sheetPr>
  <dimension ref="B1:L252"/>
  <sheetViews>
    <sheetView zoomScaleNormal="100" workbookViewId="0">
      <selection activeCell="C9" sqref="C9"/>
    </sheetView>
  </sheetViews>
  <sheetFormatPr defaultRowHeight="13.5" x14ac:dyDescent="0.25"/>
  <cols>
    <col min="1" max="1" width="7.28515625" style="139" customWidth="1"/>
    <col min="2" max="2" width="42" style="139" customWidth="1"/>
    <col min="3" max="3" width="54.7109375" style="139" customWidth="1"/>
    <col min="4" max="4" width="31" style="139" bestFit="1" customWidth="1"/>
    <col min="5" max="5" width="20.140625" style="139" bestFit="1" customWidth="1"/>
    <col min="6" max="6" width="16.5703125" style="139" customWidth="1"/>
    <col min="7" max="7" width="18.7109375" style="139" bestFit="1" customWidth="1"/>
    <col min="8" max="8" width="17.5703125" style="139" customWidth="1"/>
    <col min="9" max="9" width="15.5703125" style="139" bestFit="1" customWidth="1"/>
    <col min="10" max="10" width="13.5703125" style="139" customWidth="1"/>
    <col min="11" max="11" width="20.5703125" style="139" customWidth="1"/>
    <col min="12" max="12" width="12.42578125" style="139" bestFit="1" customWidth="1"/>
    <col min="13" max="256" width="9.140625" style="139"/>
    <col min="257" max="257" width="7.28515625" style="139" customWidth="1"/>
    <col min="258" max="258" width="42" style="139" customWidth="1"/>
    <col min="259" max="259" width="54.7109375" style="139" customWidth="1"/>
    <col min="260" max="260" width="31" style="139" bestFit="1" customWidth="1"/>
    <col min="261" max="261" width="20.140625" style="139" bestFit="1" customWidth="1"/>
    <col min="262" max="262" width="16.5703125" style="139" customWidth="1"/>
    <col min="263" max="263" width="18.7109375" style="139" bestFit="1" customWidth="1"/>
    <col min="264" max="264" width="17.5703125" style="139" customWidth="1"/>
    <col min="265" max="265" width="15.5703125" style="139" bestFit="1" customWidth="1"/>
    <col min="266" max="266" width="13.5703125" style="139" customWidth="1"/>
    <col min="267" max="267" width="20.5703125" style="139" customWidth="1"/>
    <col min="268" max="268" width="12.42578125" style="139" bestFit="1" customWidth="1"/>
    <col min="269" max="512" width="9.140625" style="139"/>
    <col min="513" max="513" width="7.28515625" style="139" customWidth="1"/>
    <col min="514" max="514" width="42" style="139" customWidth="1"/>
    <col min="515" max="515" width="54.7109375" style="139" customWidth="1"/>
    <col min="516" max="516" width="31" style="139" bestFit="1" customWidth="1"/>
    <col min="517" max="517" width="20.140625" style="139" bestFit="1" customWidth="1"/>
    <col min="518" max="518" width="16.5703125" style="139" customWidth="1"/>
    <col min="519" max="519" width="18.7109375" style="139" bestFit="1" customWidth="1"/>
    <col min="520" max="520" width="17.5703125" style="139" customWidth="1"/>
    <col min="521" max="521" width="15.5703125" style="139" bestFit="1" customWidth="1"/>
    <col min="522" max="522" width="13.5703125" style="139" customWidth="1"/>
    <col min="523" max="523" width="20.5703125" style="139" customWidth="1"/>
    <col min="524" max="524" width="12.42578125" style="139" bestFit="1" customWidth="1"/>
    <col min="525" max="768" width="9.140625" style="139"/>
    <col min="769" max="769" width="7.28515625" style="139" customWidth="1"/>
    <col min="770" max="770" width="42" style="139" customWidth="1"/>
    <col min="771" max="771" width="54.7109375" style="139" customWidth="1"/>
    <col min="772" max="772" width="31" style="139" bestFit="1" customWidth="1"/>
    <col min="773" max="773" width="20.140625" style="139" bestFit="1" customWidth="1"/>
    <col min="774" max="774" width="16.5703125" style="139" customWidth="1"/>
    <col min="775" max="775" width="18.7109375" style="139" bestFit="1" customWidth="1"/>
    <col min="776" max="776" width="17.5703125" style="139" customWidth="1"/>
    <col min="777" max="777" width="15.5703125" style="139" bestFit="1" customWidth="1"/>
    <col min="778" max="778" width="13.5703125" style="139" customWidth="1"/>
    <col min="779" max="779" width="20.5703125" style="139" customWidth="1"/>
    <col min="780" max="780" width="12.42578125" style="139" bestFit="1" customWidth="1"/>
    <col min="781" max="1024" width="9.140625" style="139"/>
    <col min="1025" max="1025" width="7.28515625" style="139" customWidth="1"/>
    <col min="1026" max="1026" width="42" style="139" customWidth="1"/>
    <col min="1027" max="1027" width="54.7109375" style="139" customWidth="1"/>
    <col min="1028" max="1028" width="31" style="139" bestFit="1" customWidth="1"/>
    <col min="1029" max="1029" width="20.140625" style="139" bestFit="1" customWidth="1"/>
    <col min="1030" max="1030" width="16.5703125" style="139" customWidth="1"/>
    <col min="1031" max="1031" width="18.7109375" style="139" bestFit="1" customWidth="1"/>
    <col min="1032" max="1032" width="17.5703125" style="139" customWidth="1"/>
    <col min="1033" max="1033" width="15.5703125" style="139" bestFit="1" customWidth="1"/>
    <col min="1034" max="1034" width="13.5703125" style="139" customWidth="1"/>
    <col min="1035" max="1035" width="20.5703125" style="139" customWidth="1"/>
    <col min="1036" max="1036" width="12.42578125" style="139" bestFit="1" customWidth="1"/>
    <col min="1037" max="1280" width="9.140625" style="139"/>
    <col min="1281" max="1281" width="7.28515625" style="139" customWidth="1"/>
    <col min="1282" max="1282" width="42" style="139" customWidth="1"/>
    <col min="1283" max="1283" width="54.7109375" style="139" customWidth="1"/>
    <col min="1284" max="1284" width="31" style="139" bestFit="1" customWidth="1"/>
    <col min="1285" max="1285" width="20.140625" style="139" bestFit="1" customWidth="1"/>
    <col min="1286" max="1286" width="16.5703125" style="139" customWidth="1"/>
    <col min="1287" max="1287" width="18.7109375" style="139" bestFit="1" customWidth="1"/>
    <col min="1288" max="1288" width="17.5703125" style="139" customWidth="1"/>
    <col min="1289" max="1289" width="15.5703125" style="139" bestFit="1" customWidth="1"/>
    <col min="1290" max="1290" width="13.5703125" style="139" customWidth="1"/>
    <col min="1291" max="1291" width="20.5703125" style="139" customWidth="1"/>
    <col min="1292" max="1292" width="12.42578125" style="139" bestFit="1" customWidth="1"/>
    <col min="1293" max="1536" width="9.140625" style="139"/>
    <col min="1537" max="1537" width="7.28515625" style="139" customWidth="1"/>
    <col min="1538" max="1538" width="42" style="139" customWidth="1"/>
    <col min="1539" max="1539" width="54.7109375" style="139" customWidth="1"/>
    <col min="1540" max="1540" width="31" style="139" bestFit="1" customWidth="1"/>
    <col min="1541" max="1541" width="20.140625" style="139" bestFit="1" customWidth="1"/>
    <col min="1542" max="1542" width="16.5703125" style="139" customWidth="1"/>
    <col min="1543" max="1543" width="18.7109375" style="139" bestFit="1" customWidth="1"/>
    <col min="1544" max="1544" width="17.5703125" style="139" customWidth="1"/>
    <col min="1545" max="1545" width="15.5703125" style="139" bestFit="1" customWidth="1"/>
    <col min="1546" max="1546" width="13.5703125" style="139" customWidth="1"/>
    <col min="1547" max="1547" width="20.5703125" style="139" customWidth="1"/>
    <col min="1548" max="1548" width="12.42578125" style="139" bestFit="1" customWidth="1"/>
    <col min="1549" max="1792" width="9.140625" style="139"/>
    <col min="1793" max="1793" width="7.28515625" style="139" customWidth="1"/>
    <col min="1794" max="1794" width="42" style="139" customWidth="1"/>
    <col min="1795" max="1795" width="54.7109375" style="139" customWidth="1"/>
    <col min="1796" max="1796" width="31" style="139" bestFit="1" customWidth="1"/>
    <col min="1797" max="1797" width="20.140625" style="139" bestFit="1" customWidth="1"/>
    <col min="1798" max="1798" width="16.5703125" style="139" customWidth="1"/>
    <col min="1799" max="1799" width="18.7109375" style="139" bestFit="1" customWidth="1"/>
    <col min="1800" max="1800" width="17.5703125" style="139" customWidth="1"/>
    <col min="1801" max="1801" width="15.5703125" style="139" bestFit="1" customWidth="1"/>
    <col min="1802" max="1802" width="13.5703125" style="139" customWidth="1"/>
    <col min="1803" max="1803" width="20.5703125" style="139" customWidth="1"/>
    <col min="1804" max="1804" width="12.42578125" style="139" bestFit="1" customWidth="1"/>
    <col min="1805" max="2048" width="9.140625" style="139"/>
    <col min="2049" max="2049" width="7.28515625" style="139" customWidth="1"/>
    <col min="2050" max="2050" width="42" style="139" customWidth="1"/>
    <col min="2051" max="2051" width="54.7109375" style="139" customWidth="1"/>
    <col min="2052" max="2052" width="31" style="139" bestFit="1" customWidth="1"/>
    <col min="2053" max="2053" width="20.140625" style="139" bestFit="1" customWidth="1"/>
    <col min="2054" max="2054" width="16.5703125" style="139" customWidth="1"/>
    <col min="2055" max="2055" width="18.7109375" style="139" bestFit="1" customWidth="1"/>
    <col min="2056" max="2056" width="17.5703125" style="139" customWidth="1"/>
    <col min="2057" max="2057" width="15.5703125" style="139" bestFit="1" customWidth="1"/>
    <col min="2058" max="2058" width="13.5703125" style="139" customWidth="1"/>
    <col min="2059" max="2059" width="20.5703125" style="139" customWidth="1"/>
    <col min="2060" max="2060" width="12.42578125" style="139" bestFit="1" customWidth="1"/>
    <col min="2061" max="2304" width="9.140625" style="139"/>
    <col min="2305" max="2305" width="7.28515625" style="139" customWidth="1"/>
    <col min="2306" max="2306" width="42" style="139" customWidth="1"/>
    <col min="2307" max="2307" width="54.7109375" style="139" customWidth="1"/>
    <col min="2308" max="2308" width="31" style="139" bestFit="1" customWidth="1"/>
    <col min="2309" max="2309" width="20.140625" style="139" bestFit="1" customWidth="1"/>
    <col min="2310" max="2310" width="16.5703125" style="139" customWidth="1"/>
    <col min="2311" max="2311" width="18.7109375" style="139" bestFit="1" customWidth="1"/>
    <col min="2312" max="2312" width="17.5703125" style="139" customWidth="1"/>
    <col min="2313" max="2313" width="15.5703125" style="139" bestFit="1" customWidth="1"/>
    <col min="2314" max="2314" width="13.5703125" style="139" customWidth="1"/>
    <col min="2315" max="2315" width="20.5703125" style="139" customWidth="1"/>
    <col min="2316" max="2316" width="12.42578125" style="139" bestFit="1" customWidth="1"/>
    <col min="2317" max="2560" width="9.140625" style="139"/>
    <col min="2561" max="2561" width="7.28515625" style="139" customWidth="1"/>
    <col min="2562" max="2562" width="42" style="139" customWidth="1"/>
    <col min="2563" max="2563" width="54.7109375" style="139" customWidth="1"/>
    <col min="2564" max="2564" width="31" style="139" bestFit="1" customWidth="1"/>
    <col min="2565" max="2565" width="20.140625" style="139" bestFit="1" customWidth="1"/>
    <col min="2566" max="2566" width="16.5703125" style="139" customWidth="1"/>
    <col min="2567" max="2567" width="18.7109375" style="139" bestFit="1" customWidth="1"/>
    <col min="2568" max="2568" width="17.5703125" style="139" customWidth="1"/>
    <col min="2569" max="2569" width="15.5703125" style="139" bestFit="1" customWidth="1"/>
    <col min="2570" max="2570" width="13.5703125" style="139" customWidth="1"/>
    <col min="2571" max="2571" width="20.5703125" style="139" customWidth="1"/>
    <col min="2572" max="2572" width="12.42578125" style="139" bestFit="1" customWidth="1"/>
    <col min="2573" max="2816" width="9.140625" style="139"/>
    <col min="2817" max="2817" width="7.28515625" style="139" customWidth="1"/>
    <col min="2818" max="2818" width="42" style="139" customWidth="1"/>
    <col min="2819" max="2819" width="54.7109375" style="139" customWidth="1"/>
    <col min="2820" max="2820" width="31" style="139" bestFit="1" customWidth="1"/>
    <col min="2821" max="2821" width="20.140625" style="139" bestFit="1" customWidth="1"/>
    <col min="2822" max="2822" width="16.5703125" style="139" customWidth="1"/>
    <col min="2823" max="2823" width="18.7109375" style="139" bestFit="1" customWidth="1"/>
    <col min="2824" max="2824" width="17.5703125" style="139" customWidth="1"/>
    <col min="2825" max="2825" width="15.5703125" style="139" bestFit="1" customWidth="1"/>
    <col min="2826" max="2826" width="13.5703125" style="139" customWidth="1"/>
    <col min="2827" max="2827" width="20.5703125" style="139" customWidth="1"/>
    <col min="2828" max="2828" width="12.42578125" style="139" bestFit="1" customWidth="1"/>
    <col min="2829" max="3072" width="9.140625" style="139"/>
    <col min="3073" max="3073" width="7.28515625" style="139" customWidth="1"/>
    <col min="3074" max="3074" width="42" style="139" customWidth="1"/>
    <col min="3075" max="3075" width="54.7109375" style="139" customWidth="1"/>
    <col min="3076" max="3076" width="31" style="139" bestFit="1" customWidth="1"/>
    <col min="3077" max="3077" width="20.140625" style="139" bestFit="1" customWidth="1"/>
    <col min="3078" max="3078" width="16.5703125" style="139" customWidth="1"/>
    <col min="3079" max="3079" width="18.7109375" style="139" bestFit="1" customWidth="1"/>
    <col min="3080" max="3080" width="17.5703125" style="139" customWidth="1"/>
    <col min="3081" max="3081" width="15.5703125" style="139" bestFit="1" customWidth="1"/>
    <col min="3082" max="3082" width="13.5703125" style="139" customWidth="1"/>
    <col min="3083" max="3083" width="20.5703125" style="139" customWidth="1"/>
    <col min="3084" max="3084" width="12.42578125" style="139" bestFit="1" customWidth="1"/>
    <col min="3085" max="3328" width="9.140625" style="139"/>
    <col min="3329" max="3329" width="7.28515625" style="139" customWidth="1"/>
    <col min="3330" max="3330" width="42" style="139" customWidth="1"/>
    <col min="3331" max="3331" width="54.7109375" style="139" customWidth="1"/>
    <col min="3332" max="3332" width="31" style="139" bestFit="1" customWidth="1"/>
    <col min="3333" max="3333" width="20.140625" style="139" bestFit="1" customWidth="1"/>
    <col min="3334" max="3334" width="16.5703125" style="139" customWidth="1"/>
    <col min="3335" max="3335" width="18.7109375" style="139" bestFit="1" customWidth="1"/>
    <col min="3336" max="3336" width="17.5703125" style="139" customWidth="1"/>
    <col min="3337" max="3337" width="15.5703125" style="139" bestFit="1" customWidth="1"/>
    <col min="3338" max="3338" width="13.5703125" style="139" customWidth="1"/>
    <col min="3339" max="3339" width="20.5703125" style="139" customWidth="1"/>
    <col min="3340" max="3340" width="12.42578125" style="139" bestFit="1" customWidth="1"/>
    <col min="3341" max="3584" width="9.140625" style="139"/>
    <col min="3585" max="3585" width="7.28515625" style="139" customWidth="1"/>
    <col min="3586" max="3586" width="42" style="139" customWidth="1"/>
    <col min="3587" max="3587" width="54.7109375" style="139" customWidth="1"/>
    <col min="3588" max="3588" width="31" style="139" bestFit="1" customWidth="1"/>
    <col min="3589" max="3589" width="20.140625" style="139" bestFit="1" customWidth="1"/>
    <col min="3590" max="3590" width="16.5703125" style="139" customWidth="1"/>
    <col min="3591" max="3591" width="18.7109375" style="139" bestFit="1" customWidth="1"/>
    <col min="3592" max="3592" width="17.5703125" style="139" customWidth="1"/>
    <col min="3593" max="3593" width="15.5703125" style="139" bestFit="1" customWidth="1"/>
    <col min="3594" max="3594" width="13.5703125" style="139" customWidth="1"/>
    <col min="3595" max="3595" width="20.5703125" style="139" customWidth="1"/>
    <col min="3596" max="3596" width="12.42578125" style="139" bestFit="1" customWidth="1"/>
    <col min="3597" max="3840" width="9.140625" style="139"/>
    <col min="3841" max="3841" width="7.28515625" style="139" customWidth="1"/>
    <col min="3842" max="3842" width="42" style="139" customWidth="1"/>
    <col min="3843" max="3843" width="54.7109375" style="139" customWidth="1"/>
    <col min="3844" max="3844" width="31" style="139" bestFit="1" customWidth="1"/>
    <col min="3845" max="3845" width="20.140625" style="139" bestFit="1" customWidth="1"/>
    <col min="3846" max="3846" width="16.5703125" style="139" customWidth="1"/>
    <col min="3847" max="3847" width="18.7109375" style="139" bestFit="1" customWidth="1"/>
    <col min="3848" max="3848" width="17.5703125" style="139" customWidth="1"/>
    <col min="3849" max="3849" width="15.5703125" style="139" bestFit="1" customWidth="1"/>
    <col min="3850" max="3850" width="13.5703125" style="139" customWidth="1"/>
    <col min="3851" max="3851" width="20.5703125" style="139" customWidth="1"/>
    <col min="3852" max="3852" width="12.42578125" style="139" bestFit="1" customWidth="1"/>
    <col min="3853" max="4096" width="9.140625" style="139"/>
    <col min="4097" max="4097" width="7.28515625" style="139" customWidth="1"/>
    <col min="4098" max="4098" width="42" style="139" customWidth="1"/>
    <col min="4099" max="4099" width="54.7109375" style="139" customWidth="1"/>
    <col min="4100" max="4100" width="31" style="139" bestFit="1" customWidth="1"/>
    <col min="4101" max="4101" width="20.140625" style="139" bestFit="1" customWidth="1"/>
    <col min="4102" max="4102" width="16.5703125" style="139" customWidth="1"/>
    <col min="4103" max="4103" width="18.7109375" style="139" bestFit="1" customWidth="1"/>
    <col min="4104" max="4104" width="17.5703125" style="139" customWidth="1"/>
    <col min="4105" max="4105" width="15.5703125" style="139" bestFit="1" customWidth="1"/>
    <col min="4106" max="4106" width="13.5703125" style="139" customWidth="1"/>
    <col min="4107" max="4107" width="20.5703125" style="139" customWidth="1"/>
    <col min="4108" max="4108" width="12.42578125" style="139" bestFit="1" customWidth="1"/>
    <col min="4109" max="4352" width="9.140625" style="139"/>
    <col min="4353" max="4353" width="7.28515625" style="139" customWidth="1"/>
    <col min="4354" max="4354" width="42" style="139" customWidth="1"/>
    <col min="4355" max="4355" width="54.7109375" style="139" customWidth="1"/>
    <col min="4356" max="4356" width="31" style="139" bestFit="1" customWidth="1"/>
    <col min="4357" max="4357" width="20.140625" style="139" bestFit="1" customWidth="1"/>
    <col min="4358" max="4358" width="16.5703125" style="139" customWidth="1"/>
    <col min="4359" max="4359" width="18.7109375" style="139" bestFit="1" customWidth="1"/>
    <col min="4360" max="4360" width="17.5703125" style="139" customWidth="1"/>
    <col min="4361" max="4361" width="15.5703125" style="139" bestFit="1" customWidth="1"/>
    <col min="4362" max="4362" width="13.5703125" style="139" customWidth="1"/>
    <col min="4363" max="4363" width="20.5703125" style="139" customWidth="1"/>
    <col min="4364" max="4364" width="12.42578125" style="139" bestFit="1" customWidth="1"/>
    <col min="4365" max="4608" width="9.140625" style="139"/>
    <col min="4609" max="4609" width="7.28515625" style="139" customWidth="1"/>
    <col min="4610" max="4610" width="42" style="139" customWidth="1"/>
    <col min="4611" max="4611" width="54.7109375" style="139" customWidth="1"/>
    <col min="4612" max="4612" width="31" style="139" bestFit="1" customWidth="1"/>
    <col min="4613" max="4613" width="20.140625" style="139" bestFit="1" customWidth="1"/>
    <col min="4614" max="4614" width="16.5703125" style="139" customWidth="1"/>
    <col min="4615" max="4615" width="18.7109375" style="139" bestFit="1" customWidth="1"/>
    <col min="4616" max="4616" width="17.5703125" style="139" customWidth="1"/>
    <col min="4617" max="4617" width="15.5703125" style="139" bestFit="1" customWidth="1"/>
    <col min="4618" max="4618" width="13.5703125" style="139" customWidth="1"/>
    <col min="4619" max="4619" width="20.5703125" style="139" customWidth="1"/>
    <col min="4620" max="4620" width="12.42578125" style="139" bestFit="1" customWidth="1"/>
    <col min="4621" max="4864" width="9.140625" style="139"/>
    <col min="4865" max="4865" width="7.28515625" style="139" customWidth="1"/>
    <col min="4866" max="4866" width="42" style="139" customWidth="1"/>
    <col min="4867" max="4867" width="54.7109375" style="139" customWidth="1"/>
    <col min="4868" max="4868" width="31" style="139" bestFit="1" customWidth="1"/>
    <col min="4869" max="4869" width="20.140625" style="139" bestFit="1" customWidth="1"/>
    <col min="4870" max="4870" width="16.5703125" style="139" customWidth="1"/>
    <col min="4871" max="4871" width="18.7109375" style="139" bestFit="1" customWidth="1"/>
    <col min="4872" max="4872" width="17.5703125" style="139" customWidth="1"/>
    <col min="4873" max="4873" width="15.5703125" style="139" bestFit="1" customWidth="1"/>
    <col min="4874" max="4874" width="13.5703125" style="139" customWidth="1"/>
    <col min="4875" max="4875" width="20.5703125" style="139" customWidth="1"/>
    <col min="4876" max="4876" width="12.42578125" style="139" bestFit="1" customWidth="1"/>
    <col min="4877" max="5120" width="9.140625" style="139"/>
    <col min="5121" max="5121" width="7.28515625" style="139" customWidth="1"/>
    <col min="5122" max="5122" width="42" style="139" customWidth="1"/>
    <col min="5123" max="5123" width="54.7109375" style="139" customWidth="1"/>
    <col min="5124" max="5124" width="31" style="139" bestFit="1" customWidth="1"/>
    <col min="5125" max="5125" width="20.140625" style="139" bestFit="1" customWidth="1"/>
    <col min="5126" max="5126" width="16.5703125" style="139" customWidth="1"/>
    <col min="5127" max="5127" width="18.7109375" style="139" bestFit="1" customWidth="1"/>
    <col min="5128" max="5128" width="17.5703125" style="139" customWidth="1"/>
    <col min="5129" max="5129" width="15.5703125" style="139" bestFit="1" customWidth="1"/>
    <col min="5130" max="5130" width="13.5703125" style="139" customWidth="1"/>
    <col min="5131" max="5131" width="20.5703125" style="139" customWidth="1"/>
    <col min="5132" max="5132" width="12.42578125" style="139" bestFit="1" customWidth="1"/>
    <col min="5133" max="5376" width="9.140625" style="139"/>
    <col min="5377" max="5377" width="7.28515625" style="139" customWidth="1"/>
    <col min="5378" max="5378" width="42" style="139" customWidth="1"/>
    <col min="5379" max="5379" width="54.7109375" style="139" customWidth="1"/>
    <col min="5380" max="5380" width="31" style="139" bestFit="1" customWidth="1"/>
    <col min="5381" max="5381" width="20.140625" style="139" bestFit="1" customWidth="1"/>
    <col min="5382" max="5382" width="16.5703125" style="139" customWidth="1"/>
    <col min="5383" max="5383" width="18.7109375" style="139" bestFit="1" customWidth="1"/>
    <col min="5384" max="5384" width="17.5703125" style="139" customWidth="1"/>
    <col min="5385" max="5385" width="15.5703125" style="139" bestFit="1" customWidth="1"/>
    <col min="5386" max="5386" width="13.5703125" style="139" customWidth="1"/>
    <col min="5387" max="5387" width="20.5703125" style="139" customWidth="1"/>
    <col min="5388" max="5388" width="12.42578125" style="139" bestFit="1" customWidth="1"/>
    <col min="5389" max="5632" width="9.140625" style="139"/>
    <col min="5633" max="5633" width="7.28515625" style="139" customWidth="1"/>
    <col min="5634" max="5634" width="42" style="139" customWidth="1"/>
    <col min="5635" max="5635" width="54.7109375" style="139" customWidth="1"/>
    <col min="5636" max="5636" width="31" style="139" bestFit="1" customWidth="1"/>
    <col min="5637" max="5637" width="20.140625" style="139" bestFit="1" customWidth="1"/>
    <col min="5638" max="5638" width="16.5703125" style="139" customWidth="1"/>
    <col min="5639" max="5639" width="18.7109375" style="139" bestFit="1" customWidth="1"/>
    <col min="5640" max="5640" width="17.5703125" style="139" customWidth="1"/>
    <col min="5641" max="5641" width="15.5703125" style="139" bestFit="1" customWidth="1"/>
    <col min="5642" max="5642" width="13.5703125" style="139" customWidth="1"/>
    <col min="5643" max="5643" width="20.5703125" style="139" customWidth="1"/>
    <col min="5644" max="5644" width="12.42578125" style="139" bestFit="1" customWidth="1"/>
    <col min="5645" max="5888" width="9.140625" style="139"/>
    <col min="5889" max="5889" width="7.28515625" style="139" customWidth="1"/>
    <col min="5890" max="5890" width="42" style="139" customWidth="1"/>
    <col min="5891" max="5891" width="54.7109375" style="139" customWidth="1"/>
    <col min="5892" max="5892" width="31" style="139" bestFit="1" customWidth="1"/>
    <col min="5893" max="5893" width="20.140625" style="139" bestFit="1" customWidth="1"/>
    <col min="5894" max="5894" width="16.5703125" style="139" customWidth="1"/>
    <col min="5895" max="5895" width="18.7109375" style="139" bestFit="1" customWidth="1"/>
    <col min="5896" max="5896" width="17.5703125" style="139" customWidth="1"/>
    <col min="5897" max="5897" width="15.5703125" style="139" bestFit="1" customWidth="1"/>
    <col min="5898" max="5898" width="13.5703125" style="139" customWidth="1"/>
    <col min="5899" max="5899" width="20.5703125" style="139" customWidth="1"/>
    <col min="5900" max="5900" width="12.42578125" style="139" bestFit="1" customWidth="1"/>
    <col min="5901" max="6144" width="9.140625" style="139"/>
    <col min="6145" max="6145" width="7.28515625" style="139" customWidth="1"/>
    <col min="6146" max="6146" width="42" style="139" customWidth="1"/>
    <col min="6147" max="6147" width="54.7109375" style="139" customWidth="1"/>
    <col min="6148" max="6148" width="31" style="139" bestFit="1" customWidth="1"/>
    <col min="6149" max="6149" width="20.140625" style="139" bestFit="1" customWidth="1"/>
    <col min="6150" max="6150" width="16.5703125" style="139" customWidth="1"/>
    <col min="6151" max="6151" width="18.7109375" style="139" bestFit="1" customWidth="1"/>
    <col min="6152" max="6152" width="17.5703125" style="139" customWidth="1"/>
    <col min="6153" max="6153" width="15.5703125" style="139" bestFit="1" customWidth="1"/>
    <col min="6154" max="6154" width="13.5703125" style="139" customWidth="1"/>
    <col min="6155" max="6155" width="20.5703125" style="139" customWidth="1"/>
    <col min="6156" max="6156" width="12.42578125" style="139" bestFit="1" customWidth="1"/>
    <col min="6157" max="6400" width="9.140625" style="139"/>
    <col min="6401" max="6401" width="7.28515625" style="139" customWidth="1"/>
    <col min="6402" max="6402" width="42" style="139" customWidth="1"/>
    <col min="6403" max="6403" width="54.7109375" style="139" customWidth="1"/>
    <col min="6404" max="6404" width="31" style="139" bestFit="1" customWidth="1"/>
    <col min="6405" max="6405" width="20.140625" style="139" bestFit="1" customWidth="1"/>
    <col min="6406" max="6406" width="16.5703125" style="139" customWidth="1"/>
    <col min="6407" max="6407" width="18.7109375" style="139" bestFit="1" customWidth="1"/>
    <col min="6408" max="6408" width="17.5703125" style="139" customWidth="1"/>
    <col min="6409" max="6409" width="15.5703125" style="139" bestFit="1" customWidth="1"/>
    <col min="6410" max="6410" width="13.5703125" style="139" customWidth="1"/>
    <col min="6411" max="6411" width="20.5703125" style="139" customWidth="1"/>
    <col min="6412" max="6412" width="12.42578125" style="139" bestFit="1" customWidth="1"/>
    <col min="6413" max="6656" width="9.140625" style="139"/>
    <col min="6657" max="6657" width="7.28515625" style="139" customWidth="1"/>
    <col min="6658" max="6658" width="42" style="139" customWidth="1"/>
    <col min="6659" max="6659" width="54.7109375" style="139" customWidth="1"/>
    <col min="6660" max="6660" width="31" style="139" bestFit="1" customWidth="1"/>
    <col min="6661" max="6661" width="20.140625" style="139" bestFit="1" customWidth="1"/>
    <col min="6662" max="6662" width="16.5703125" style="139" customWidth="1"/>
    <col min="6663" max="6663" width="18.7109375" style="139" bestFit="1" customWidth="1"/>
    <col min="6664" max="6664" width="17.5703125" style="139" customWidth="1"/>
    <col min="6665" max="6665" width="15.5703125" style="139" bestFit="1" customWidth="1"/>
    <col min="6666" max="6666" width="13.5703125" style="139" customWidth="1"/>
    <col min="6667" max="6667" width="20.5703125" style="139" customWidth="1"/>
    <col min="6668" max="6668" width="12.42578125" style="139" bestFit="1" customWidth="1"/>
    <col min="6669" max="6912" width="9.140625" style="139"/>
    <col min="6913" max="6913" width="7.28515625" style="139" customWidth="1"/>
    <col min="6914" max="6914" width="42" style="139" customWidth="1"/>
    <col min="6915" max="6915" width="54.7109375" style="139" customWidth="1"/>
    <col min="6916" max="6916" width="31" style="139" bestFit="1" customWidth="1"/>
    <col min="6917" max="6917" width="20.140625" style="139" bestFit="1" customWidth="1"/>
    <col min="6918" max="6918" width="16.5703125" style="139" customWidth="1"/>
    <col min="6919" max="6919" width="18.7109375" style="139" bestFit="1" customWidth="1"/>
    <col min="6920" max="6920" width="17.5703125" style="139" customWidth="1"/>
    <col min="6921" max="6921" width="15.5703125" style="139" bestFit="1" customWidth="1"/>
    <col min="6922" max="6922" width="13.5703125" style="139" customWidth="1"/>
    <col min="6923" max="6923" width="20.5703125" style="139" customWidth="1"/>
    <col min="6924" max="6924" width="12.42578125" style="139" bestFit="1" customWidth="1"/>
    <col min="6925" max="7168" width="9.140625" style="139"/>
    <col min="7169" max="7169" width="7.28515625" style="139" customWidth="1"/>
    <col min="7170" max="7170" width="42" style="139" customWidth="1"/>
    <col min="7171" max="7171" width="54.7109375" style="139" customWidth="1"/>
    <col min="7172" max="7172" width="31" style="139" bestFit="1" customWidth="1"/>
    <col min="7173" max="7173" width="20.140625" style="139" bestFit="1" customWidth="1"/>
    <col min="7174" max="7174" width="16.5703125" style="139" customWidth="1"/>
    <col min="7175" max="7175" width="18.7109375" style="139" bestFit="1" customWidth="1"/>
    <col min="7176" max="7176" width="17.5703125" style="139" customWidth="1"/>
    <col min="7177" max="7177" width="15.5703125" style="139" bestFit="1" customWidth="1"/>
    <col min="7178" max="7178" width="13.5703125" style="139" customWidth="1"/>
    <col min="7179" max="7179" width="20.5703125" style="139" customWidth="1"/>
    <col min="7180" max="7180" width="12.42578125" style="139" bestFit="1" customWidth="1"/>
    <col min="7181" max="7424" width="9.140625" style="139"/>
    <col min="7425" max="7425" width="7.28515625" style="139" customWidth="1"/>
    <col min="7426" max="7426" width="42" style="139" customWidth="1"/>
    <col min="7427" max="7427" width="54.7109375" style="139" customWidth="1"/>
    <col min="7428" max="7428" width="31" style="139" bestFit="1" customWidth="1"/>
    <col min="7429" max="7429" width="20.140625" style="139" bestFit="1" customWidth="1"/>
    <col min="7430" max="7430" width="16.5703125" style="139" customWidth="1"/>
    <col min="7431" max="7431" width="18.7109375" style="139" bestFit="1" customWidth="1"/>
    <col min="7432" max="7432" width="17.5703125" style="139" customWidth="1"/>
    <col min="7433" max="7433" width="15.5703125" style="139" bestFit="1" customWidth="1"/>
    <col min="7434" max="7434" width="13.5703125" style="139" customWidth="1"/>
    <col min="7435" max="7435" width="20.5703125" style="139" customWidth="1"/>
    <col min="7436" max="7436" width="12.42578125" style="139" bestFit="1" customWidth="1"/>
    <col min="7437" max="7680" width="9.140625" style="139"/>
    <col min="7681" max="7681" width="7.28515625" style="139" customWidth="1"/>
    <col min="7682" max="7682" width="42" style="139" customWidth="1"/>
    <col min="7683" max="7683" width="54.7109375" style="139" customWidth="1"/>
    <col min="7684" max="7684" width="31" style="139" bestFit="1" customWidth="1"/>
    <col min="7685" max="7685" width="20.140625" style="139" bestFit="1" customWidth="1"/>
    <col min="7686" max="7686" width="16.5703125" style="139" customWidth="1"/>
    <col min="7687" max="7687" width="18.7109375" style="139" bestFit="1" customWidth="1"/>
    <col min="7688" max="7688" width="17.5703125" style="139" customWidth="1"/>
    <col min="7689" max="7689" width="15.5703125" style="139" bestFit="1" customWidth="1"/>
    <col min="7690" max="7690" width="13.5703125" style="139" customWidth="1"/>
    <col min="7691" max="7691" width="20.5703125" style="139" customWidth="1"/>
    <col min="7692" max="7692" width="12.42578125" style="139" bestFit="1" customWidth="1"/>
    <col min="7693" max="7936" width="9.140625" style="139"/>
    <col min="7937" max="7937" width="7.28515625" style="139" customWidth="1"/>
    <col min="7938" max="7938" width="42" style="139" customWidth="1"/>
    <col min="7939" max="7939" width="54.7109375" style="139" customWidth="1"/>
    <col min="7940" max="7940" width="31" style="139" bestFit="1" customWidth="1"/>
    <col min="7941" max="7941" width="20.140625" style="139" bestFit="1" customWidth="1"/>
    <col min="7942" max="7942" width="16.5703125" style="139" customWidth="1"/>
    <col min="7943" max="7943" width="18.7109375" style="139" bestFit="1" customWidth="1"/>
    <col min="7944" max="7944" width="17.5703125" style="139" customWidth="1"/>
    <col min="7945" max="7945" width="15.5703125" style="139" bestFit="1" customWidth="1"/>
    <col min="7946" max="7946" width="13.5703125" style="139" customWidth="1"/>
    <col min="7947" max="7947" width="20.5703125" style="139" customWidth="1"/>
    <col min="7948" max="7948" width="12.42578125" style="139" bestFit="1" customWidth="1"/>
    <col min="7949" max="8192" width="9.140625" style="139"/>
    <col min="8193" max="8193" width="7.28515625" style="139" customWidth="1"/>
    <col min="8194" max="8194" width="42" style="139" customWidth="1"/>
    <col min="8195" max="8195" width="54.7109375" style="139" customWidth="1"/>
    <col min="8196" max="8196" width="31" style="139" bestFit="1" customWidth="1"/>
    <col min="8197" max="8197" width="20.140625" style="139" bestFit="1" customWidth="1"/>
    <col min="8198" max="8198" width="16.5703125" style="139" customWidth="1"/>
    <col min="8199" max="8199" width="18.7109375" style="139" bestFit="1" customWidth="1"/>
    <col min="8200" max="8200" width="17.5703125" style="139" customWidth="1"/>
    <col min="8201" max="8201" width="15.5703125" style="139" bestFit="1" customWidth="1"/>
    <col min="8202" max="8202" width="13.5703125" style="139" customWidth="1"/>
    <col min="8203" max="8203" width="20.5703125" style="139" customWidth="1"/>
    <col min="8204" max="8204" width="12.42578125" style="139" bestFit="1" customWidth="1"/>
    <col min="8205" max="8448" width="9.140625" style="139"/>
    <col min="8449" max="8449" width="7.28515625" style="139" customWidth="1"/>
    <col min="8450" max="8450" width="42" style="139" customWidth="1"/>
    <col min="8451" max="8451" width="54.7109375" style="139" customWidth="1"/>
    <col min="8452" max="8452" width="31" style="139" bestFit="1" customWidth="1"/>
    <col min="8453" max="8453" width="20.140625" style="139" bestFit="1" customWidth="1"/>
    <col min="8454" max="8454" width="16.5703125" style="139" customWidth="1"/>
    <col min="8455" max="8455" width="18.7109375" style="139" bestFit="1" customWidth="1"/>
    <col min="8456" max="8456" width="17.5703125" style="139" customWidth="1"/>
    <col min="8457" max="8457" width="15.5703125" style="139" bestFit="1" customWidth="1"/>
    <col min="8458" max="8458" width="13.5703125" style="139" customWidth="1"/>
    <col min="8459" max="8459" width="20.5703125" style="139" customWidth="1"/>
    <col min="8460" max="8460" width="12.42578125" style="139" bestFit="1" customWidth="1"/>
    <col min="8461" max="8704" width="9.140625" style="139"/>
    <col min="8705" max="8705" width="7.28515625" style="139" customWidth="1"/>
    <col min="8706" max="8706" width="42" style="139" customWidth="1"/>
    <col min="8707" max="8707" width="54.7109375" style="139" customWidth="1"/>
    <col min="8708" max="8708" width="31" style="139" bestFit="1" customWidth="1"/>
    <col min="8709" max="8709" width="20.140625" style="139" bestFit="1" customWidth="1"/>
    <col min="8710" max="8710" width="16.5703125" style="139" customWidth="1"/>
    <col min="8711" max="8711" width="18.7109375" style="139" bestFit="1" customWidth="1"/>
    <col min="8712" max="8712" width="17.5703125" style="139" customWidth="1"/>
    <col min="8713" max="8713" width="15.5703125" style="139" bestFit="1" customWidth="1"/>
    <col min="8714" max="8714" width="13.5703125" style="139" customWidth="1"/>
    <col min="8715" max="8715" width="20.5703125" style="139" customWidth="1"/>
    <col min="8716" max="8716" width="12.42578125" style="139" bestFit="1" customWidth="1"/>
    <col min="8717" max="8960" width="9.140625" style="139"/>
    <col min="8961" max="8961" width="7.28515625" style="139" customWidth="1"/>
    <col min="8962" max="8962" width="42" style="139" customWidth="1"/>
    <col min="8963" max="8963" width="54.7109375" style="139" customWidth="1"/>
    <col min="8964" max="8964" width="31" style="139" bestFit="1" customWidth="1"/>
    <col min="8965" max="8965" width="20.140625" style="139" bestFit="1" customWidth="1"/>
    <col min="8966" max="8966" width="16.5703125" style="139" customWidth="1"/>
    <col min="8967" max="8967" width="18.7109375" style="139" bestFit="1" customWidth="1"/>
    <col min="8968" max="8968" width="17.5703125" style="139" customWidth="1"/>
    <col min="8969" max="8969" width="15.5703125" style="139" bestFit="1" customWidth="1"/>
    <col min="8970" max="8970" width="13.5703125" style="139" customWidth="1"/>
    <col min="8971" max="8971" width="20.5703125" style="139" customWidth="1"/>
    <col min="8972" max="8972" width="12.42578125" style="139" bestFit="1" customWidth="1"/>
    <col min="8973" max="9216" width="9.140625" style="139"/>
    <col min="9217" max="9217" width="7.28515625" style="139" customWidth="1"/>
    <col min="9218" max="9218" width="42" style="139" customWidth="1"/>
    <col min="9219" max="9219" width="54.7109375" style="139" customWidth="1"/>
    <col min="9220" max="9220" width="31" style="139" bestFit="1" customWidth="1"/>
    <col min="9221" max="9221" width="20.140625" style="139" bestFit="1" customWidth="1"/>
    <col min="9222" max="9222" width="16.5703125" style="139" customWidth="1"/>
    <col min="9223" max="9223" width="18.7109375" style="139" bestFit="1" customWidth="1"/>
    <col min="9224" max="9224" width="17.5703125" style="139" customWidth="1"/>
    <col min="9225" max="9225" width="15.5703125" style="139" bestFit="1" customWidth="1"/>
    <col min="9226" max="9226" width="13.5703125" style="139" customWidth="1"/>
    <col min="9227" max="9227" width="20.5703125" style="139" customWidth="1"/>
    <col min="9228" max="9228" width="12.42578125" style="139" bestFit="1" customWidth="1"/>
    <col min="9229" max="9472" width="9.140625" style="139"/>
    <col min="9473" max="9473" width="7.28515625" style="139" customWidth="1"/>
    <col min="9474" max="9474" width="42" style="139" customWidth="1"/>
    <col min="9475" max="9475" width="54.7109375" style="139" customWidth="1"/>
    <col min="9476" max="9476" width="31" style="139" bestFit="1" customWidth="1"/>
    <col min="9477" max="9477" width="20.140625" style="139" bestFit="1" customWidth="1"/>
    <col min="9478" max="9478" width="16.5703125" style="139" customWidth="1"/>
    <col min="9479" max="9479" width="18.7109375" style="139" bestFit="1" customWidth="1"/>
    <col min="9480" max="9480" width="17.5703125" style="139" customWidth="1"/>
    <col min="9481" max="9481" width="15.5703125" style="139" bestFit="1" customWidth="1"/>
    <col min="9482" max="9482" width="13.5703125" style="139" customWidth="1"/>
    <col min="9483" max="9483" width="20.5703125" style="139" customWidth="1"/>
    <col min="9484" max="9484" width="12.42578125" style="139" bestFit="1" customWidth="1"/>
    <col min="9485" max="9728" width="9.140625" style="139"/>
    <col min="9729" max="9729" width="7.28515625" style="139" customWidth="1"/>
    <col min="9730" max="9730" width="42" style="139" customWidth="1"/>
    <col min="9731" max="9731" width="54.7109375" style="139" customWidth="1"/>
    <col min="9732" max="9732" width="31" style="139" bestFit="1" customWidth="1"/>
    <col min="9733" max="9733" width="20.140625" style="139" bestFit="1" customWidth="1"/>
    <col min="9734" max="9734" width="16.5703125" style="139" customWidth="1"/>
    <col min="9735" max="9735" width="18.7109375" style="139" bestFit="1" customWidth="1"/>
    <col min="9736" max="9736" width="17.5703125" style="139" customWidth="1"/>
    <col min="9737" max="9737" width="15.5703125" style="139" bestFit="1" customWidth="1"/>
    <col min="9738" max="9738" width="13.5703125" style="139" customWidth="1"/>
    <col min="9739" max="9739" width="20.5703125" style="139" customWidth="1"/>
    <col min="9740" max="9740" width="12.42578125" style="139" bestFit="1" customWidth="1"/>
    <col min="9741" max="9984" width="9.140625" style="139"/>
    <col min="9985" max="9985" width="7.28515625" style="139" customWidth="1"/>
    <col min="9986" max="9986" width="42" style="139" customWidth="1"/>
    <col min="9987" max="9987" width="54.7109375" style="139" customWidth="1"/>
    <col min="9988" max="9988" width="31" style="139" bestFit="1" customWidth="1"/>
    <col min="9989" max="9989" width="20.140625" style="139" bestFit="1" customWidth="1"/>
    <col min="9990" max="9990" width="16.5703125" style="139" customWidth="1"/>
    <col min="9991" max="9991" width="18.7109375" style="139" bestFit="1" customWidth="1"/>
    <col min="9992" max="9992" width="17.5703125" style="139" customWidth="1"/>
    <col min="9993" max="9993" width="15.5703125" style="139" bestFit="1" customWidth="1"/>
    <col min="9994" max="9994" width="13.5703125" style="139" customWidth="1"/>
    <col min="9995" max="9995" width="20.5703125" style="139" customWidth="1"/>
    <col min="9996" max="9996" width="12.42578125" style="139" bestFit="1" customWidth="1"/>
    <col min="9997" max="10240" width="9.140625" style="139"/>
    <col min="10241" max="10241" width="7.28515625" style="139" customWidth="1"/>
    <col min="10242" max="10242" width="42" style="139" customWidth="1"/>
    <col min="10243" max="10243" width="54.7109375" style="139" customWidth="1"/>
    <col min="10244" max="10244" width="31" style="139" bestFit="1" customWidth="1"/>
    <col min="10245" max="10245" width="20.140625" style="139" bestFit="1" customWidth="1"/>
    <col min="10246" max="10246" width="16.5703125" style="139" customWidth="1"/>
    <col min="10247" max="10247" width="18.7109375" style="139" bestFit="1" customWidth="1"/>
    <col min="10248" max="10248" width="17.5703125" style="139" customWidth="1"/>
    <col min="10249" max="10249" width="15.5703125" style="139" bestFit="1" customWidth="1"/>
    <col min="10250" max="10250" width="13.5703125" style="139" customWidth="1"/>
    <col min="10251" max="10251" width="20.5703125" style="139" customWidth="1"/>
    <col min="10252" max="10252" width="12.42578125" style="139" bestFit="1" customWidth="1"/>
    <col min="10253" max="10496" width="9.140625" style="139"/>
    <col min="10497" max="10497" width="7.28515625" style="139" customWidth="1"/>
    <col min="10498" max="10498" width="42" style="139" customWidth="1"/>
    <col min="10499" max="10499" width="54.7109375" style="139" customWidth="1"/>
    <col min="10500" max="10500" width="31" style="139" bestFit="1" customWidth="1"/>
    <col min="10501" max="10501" width="20.140625" style="139" bestFit="1" customWidth="1"/>
    <col min="10502" max="10502" width="16.5703125" style="139" customWidth="1"/>
    <col min="10503" max="10503" width="18.7109375" style="139" bestFit="1" customWidth="1"/>
    <col min="10504" max="10504" width="17.5703125" style="139" customWidth="1"/>
    <col min="10505" max="10505" width="15.5703125" style="139" bestFit="1" customWidth="1"/>
    <col min="10506" max="10506" width="13.5703125" style="139" customWidth="1"/>
    <col min="10507" max="10507" width="20.5703125" style="139" customWidth="1"/>
    <col min="10508" max="10508" width="12.42578125" style="139" bestFit="1" customWidth="1"/>
    <col min="10509" max="10752" width="9.140625" style="139"/>
    <col min="10753" max="10753" width="7.28515625" style="139" customWidth="1"/>
    <col min="10754" max="10754" width="42" style="139" customWidth="1"/>
    <col min="10755" max="10755" width="54.7109375" style="139" customWidth="1"/>
    <col min="10756" max="10756" width="31" style="139" bestFit="1" customWidth="1"/>
    <col min="10757" max="10757" width="20.140625" style="139" bestFit="1" customWidth="1"/>
    <col min="10758" max="10758" width="16.5703125" style="139" customWidth="1"/>
    <col min="10759" max="10759" width="18.7109375" style="139" bestFit="1" customWidth="1"/>
    <col min="10760" max="10760" width="17.5703125" style="139" customWidth="1"/>
    <col min="10761" max="10761" width="15.5703125" style="139" bestFit="1" customWidth="1"/>
    <col min="10762" max="10762" width="13.5703125" style="139" customWidth="1"/>
    <col min="10763" max="10763" width="20.5703125" style="139" customWidth="1"/>
    <col min="10764" max="10764" width="12.42578125" style="139" bestFit="1" customWidth="1"/>
    <col min="10765" max="11008" width="9.140625" style="139"/>
    <col min="11009" max="11009" width="7.28515625" style="139" customWidth="1"/>
    <col min="11010" max="11010" width="42" style="139" customWidth="1"/>
    <col min="11011" max="11011" width="54.7109375" style="139" customWidth="1"/>
    <col min="11012" max="11012" width="31" style="139" bestFit="1" customWidth="1"/>
    <col min="11013" max="11013" width="20.140625" style="139" bestFit="1" customWidth="1"/>
    <col min="11014" max="11014" width="16.5703125" style="139" customWidth="1"/>
    <col min="11015" max="11015" width="18.7109375" style="139" bestFit="1" customWidth="1"/>
    <col min="11016" max="11016" width="17.5703125" style="139" customWidth="1"/>
    <col min="11017" max="11017" width="15.5703125" style="139" bestFit="1" customWidth="1"/>
    <col min="11018" max="11018" width="13.5703125" style="139" customWidth="1"/>
    <col min="11019" max="11019" width="20.5703125" style="139" customWidth="1"/>
    <col min="11020" max="11020" width="12.42578125" style="139" bestFit="1" customWidth="1"/>
    <col min="11021" max="11264" width="9.140625" style="139"/>
    <col min="11265" max="11265" width="7.28515625" style="139" customWidth="1"/>
    <col min="11266" max="11266" width="42" style="139" customWidth="1"/>
    <col min="11267" max="11267" width="54.7109375" style="139" customWidth="1"/>
    <col min="11268" max="11268" width="31" style="139" bestFit="1" customWidth="1"/>
    <col min="11269" max="11269" width="20.140625" style="139" bestFit="1" customWidth="1"/>
    <col min="11270" max="11270" width="16.5703125" style="139" customWidth="1"/>
    <col min="11271" max="11271" width="18.7109375" style="139" bestFit="1" customWidth="1"/>
    <col min="11272" max="11272" width="17.5703125" style="139" customWidth="1"/>
    <col min="11273" max="11273" width="15.5703125" style="139" bestFit="1" customWidth="1"/>
    <col min="11274" max="11274" width="13.5703125" style="139" customWidth="1"/>
    <col min="11275" max="11275" width="20.5703125" style="139" customWidth="1"/>
    <col min="11276" max="11276" width="12.42578125" style="139" bestFit="1" customWidth="1"/>
    <col min="11277" max="11520" width="9.140625" style="139"/>
    <col min="11521" max="11521" width="7.28515625" style="139" customWidth="1"/>
    <col min="11522" max="11522" width="42" style="139" customWidth="1"/>
    <col min="11523" max="11523" width="54.7109375" style="139" customWidth="1"/>
    <col min="11524" max="11524" width="31" style="139" bestFit="1" customWidth="1"/>
    <col min="11525" max="11525" width="20.140625" style="139" bestFit="1" customWidth="1"/>
    <col min="11526" max="11526" width="16.5703125" style="139" customWidth="1"/>
    <col min="11527" max="11527" width="18.7109375" style="139" bestFit="1" customWidth="1"/>
    <col min="11528" max="11528" width="17.5703125" style="139" customWidth="1"/>
    <col min="11529" max="11529" width="15.5703125" style="139" bestFit="1" customWidth="1"/>
    <col min="11530" max="11530" width="13.5703125" style="139" customWidth="1"/>
    <col min="11531" max="11531" width="20.5703125" style="139" customWidth="1"/>
    <col min="11532" max="11532" width="12.42578125" style="139" bestFit="1" customWidth="1"/>
    <col min="11533" max="11776" width="9.140625" style="139"/>
    <col min="11777" max="11777" width="7.28515625" style="139" customWidth="1"/>
    <col min="11778" max="11778" width="42" style="139" customWidth="1"/>
    <col min="11779" max="11779" width="54.7109375" style="139" customWidth="1"/>
    <col min="11780" max="11780" width="31" style="139" bestFit="1" customWidth="1"/>
    <col min="11781" max="11781" width="20.140625" style="139" bestFit="1" customWidth="1"/>
    <col min="11782" max="11782" width="16.5703125" style="139" customWidth="1"/>
    <col min="11783" max="11783" width="18.7109375" style="139" bestFit="1" customWidth="1"/>
    <col min="11784" max="11784" width="17.5703125" style="139" customWidth="1"/>
    <col min="11785" max="11785" width="15.5703125" style="139" bestFit="1" customWidth="1"/>
    <col min="11786" max="11786" width="13.5703125" style="139" customWidth="1"/>
    <col min="11787" max="11787" width="20.5703125" style="139" customWidth="1"/>
    <col min="11788" max="11788" width="12.42578125" style="139" bestFit="1" customWidth="1"/>
    <col min="11789" max="12032" width="9.140625" style="139"/>
    <col min="12033" max="12033" width="7.28515625" style="139" customWidth="1"/>
    <col min="12034" max="12034" width="42" style="139" customWidth="1"/>
    <col min="12035" max="12035" width="54.7109375" style="139" customWidth="1"/>
    <col min="12036" max="12036" width="31" style="139" bestFit="1" customWidth="1"/>
    <col min="12037" max="12037" width="20.140625" style="139" bestFit="1" customWidth="1"/>
    <col min="12038" max="12038" width="16.5703125" style="139" customWidth="1"/>
    <col min="12039" max="12039" width="18.7109375" style="139" bestFit="1" customWidth="1"/>
    <col min="12040" max="12040" width="17.5703125" style="139" customWidth="1"/>
    <col min="12041" max="12041" width="15.5703125" style="139" bestFit="1" customWidth="1"/>
    <col min="12042" max="12042" width="13.5703125" style="139" customWidth="1"/>
    <col min="12043" max="12043" width="20.5703125" style="139" customWidth="1"/>
    <col min="12044" max="12044" width="12.42578125" style="139" bestFit="1" customWidth="1"/>
    <col min="12045" max="12288" width="9.140625" style="139"/>
    <col min="12289" max="12289" width="7.28515625" style="139" customWidth="1"/>
    <col min="12290" max="12290" width="42" style="139" customWidth="1"/>
    <col min="12291" max="12291" width="54.7109375" style="139" customWidth="1"/>
    <col min="12292" max="12292" width="31" style="139" bestFit="1" customWidth="1"/>
    <col min="12293" max="12293" width="20.140625" style="139" bestFit="1" customWidth="1"/>
    <col min="12294" max="12294" width="16.5703125" style="139" customWidth="1"/>
    <col min="12295" max="12295" width="18.7109375" style="139" bestFit="1" customWidth="1"/>
    <col min="12296" max="12296" width="17.5703125" style="139" customWidth="1"/>
    <col min="12297" max="12297" width="15.5703125" style="139" bestFit="1" customWidth="1"/>
    <col min="12298" max="12298" width="13.5703125" style="139" customWidth="1"/>
    <col min="12299" max="12299" width="20.5703125" style="139" customWidth="1"/>
    <col min="12300" max="12300" width="12.42578125" style="139" bestFit="1" customWidth="1"/>
    <col min="12301" max="12544" width="9.140625" style="139"/>
    <col min="12545" max="12545" width="7.28515625" style="139" customWidth="1"/>
    <col min="12546" max="12546" width="42" style="139" customWidth="1"/>
    <col min="12547" max="12547" width="54.7109375" style="139" customWidth="1"/>
    <col min="12548" max="12548" width="31" style="139" bestFit="1" customWidth="1"/>
    <col min="12549" max="12549" width="20.140625" style="139" bestFit="1" customWidth="1"/>
    <col min="12550" max="12550" width="16.5703125" style="139" customWidth="1"/>
    <col min="12551" max="12551" width="18.7109375" style="139" bestFit="1" customWidth="1"/>
    <col min="12552" max="12552" width="17.5703125" style="139" customWidth="1"/>
    <col min="12553" max="12553" width="15.5703125" style="139" bestFit="1" customWidth="1"/>
    <col min="12554" max="12554" width="13.5703125" style="139" customWidth="1"/>
    <col min="12555" max="12555" width="20.5703125" style="139" customWidth="1"/>
    <col min="12556" max="12556" width="12.42578125" style="139" bestFit="1" customWidth="1"/>
    <col min="12557" max="12800" width="9.140625" style="139"/>
    <col min="12801" max="12801" width="7.28515625" style="139" customWidth="1"/>
    <col min="12802" max="12802" width="42" style="139" customWidth="1"/>
    <col min="12803" max="12803" width="54.7109375" style="139" customWidth="1"/>
    <col min="12804" max="12804" width="31" style="139" bestFit="1" customWidth="1"/>
    <col min="12805" max="12805" width="20.140625" style="139" bestFit="1" customWidth="1"/>
    <col min="12806" max="12806" width="16.5703125" style="139" customWidth="1"/>
    <col min="12807" max="12807" width="18.7109375" style="139" bestFit="1" customWidth="1"/>
    <col min="12808" max="12808" width="17.5703125" style="139" customWidth="1"/>
    <col min="12809" max="12809" width="15.5703125" style="139" bestFit="1" customWidth="1"/>
    <col min="12810" max="12810" width="13.5703125" style="139" customWidth="1"/>
    <col min="12811" max="12811" width="20.5703125" style="139" customWidth="1"/>
    <col min="12812" max="12812" width="12.42578125" style="139" bestFit="1" customWidth="1"/>
    <col min="12813" max="13056" width="9.140625" style="139"/>
    <col min="13057" max="13057" width="7.28515625" style="139" customWidth="1"/>
    <col min="13058" max="13058" width="42" style="139" customWidth="1"/>
    <col min="13059" max="13059" width="54.7109375" style="139" customWidth="1"/>
    <col min="13060" max="13060" width="31" style="139" bestFit="1" customWidth="1"/>
    <col min="13061" max="13061" width="20.140625" style="139" bestFit="1" customWidth="1"/>
    <col min="13062" max="13062" width="16.5703125" style="139" customWidth="1"/>
    <col min="13063" max="13063" width="18.7109375" style="139" bestFit="1" customWidth="1"/>
    <col min="13064" max="13064" width="17.5703125" style="139" customWidth="1"/>
    <col min="13065" max="13065" width="15.5703125" style="139" bestFit="1" customWidth="1"/>
    <col min="13066" max="13066" width="13.5703125" style="139" customWidth="1"/>
    <col min="13067" max="13067" width="20.5703125" style="139" customWidth="1"/>
    <col min="13068" max="13068" width="12.42578125" style="139" bestFit="1" customWidth="1"/>
    <col min="13069" max="13312" width="9.140625" style="139"/>
    <col min="13313" max="13313" width="7.28515625" style="139" customWidth="1"/>
    <col min="13314" max="13314" width="42" style="139" customWidth="1"/>
    <col min="13315" max="13315" width="54.7109375" style="139" customWidth="1"/>
    <col min="13316" max="13316" width="31" style="139" bestFit="1" customWidth="1"/>
    <col min="13317" max="13317" width="20.140625" style="139" bestFit="1" customWidth="1"/>
    <col min="13318" max="13318" width="16.5703125" style="139" customWidth="1"/>
    <col min="13319" max="13319" width="18.7109375" style="139" bestFit="1" customWidth="1"/>
    <col min="13320" max="13320" width="17.5703125" style="139" customWidth="1"/>
    <col min="13321" max="13321" width="15.5703125" style="139" bestFit="1" customWidth="1"/>
    <col min="13322" max="13322" width="13.5703125" style="139" customWidth="1"/>
    <col min="13323" max="13323" width="20.5703125" style="139" customWidth="1"/>
    <col min="13324" max="13324" width="12.42578125" style="139" bestFit="1" customWidth="1"/>
    <col min="13325" max="13568" width="9.140625" style="139"/>
    <col min="13569" max="13569" width="7.28515625" style="139" customWidth="1"/>
    <col min="13570" max="13570" width="42" style="139" customWidth="1"/>
    <col min="13571" max="13571" width="54.7109375" style="139" customWidth="1"/>
    <col min="13572" max="13572" width="31" style="139" bestFit="1" customWidth="1"/>
    <col min="13573" max="13573" width="20.140625" style="139" bestFit="1" customWidth="1"/>
    <col min="13574" max="13574" width="16.5703125" style="139" customWidth="1"/>
    <col min="13575" max="13575" width="18.7109375" style="139" bestFit="1" customWidth="1"/>
    <col min="13576" max="13576" width="17.5703125" style="139" customWidth="1"/>
    <col min="13577" max="13577" width="15.5703125" style="139" bestFit="1" customWidth="1"/>
    <col min="13578" max="13578" width="13.5703125" style="139" customWidth="1"/>
    <col min="13579" max="13579" width="20.5703125" style="139" customWidth="1"/>
    <col min="13580" max="13580" width="12.42578125" style="139" bestFit="1" customWidth="1"/>
    <col min="13581" max="13824" width="9.140625" style="139"/>
    <col min="13825" max="13825" width="7.28515625" style="139" customWidth="1"/>
    <col min="13826" max="13826" width="42" style="139" customWidth="1"/>
    <col min="13827" max="13827" width="54.7109375" style="139" customWidth="1"/>
    <col min="13828" max="13828" width="31" style="139" bestFit="1" customWidth="1"/>
    <col min="13829" max="13829" width="20.140625" style="139" bestFit="1" customWidth="1"/>
    <col min="13830" max="13830" width="16.5703125" style="139" customWidth="1"/>
    <col min="13831" max="13831" width="18.7109375" style="139" bestFit="1" customWidth="1"/>
    <col min="13832" max="13832" width="17.5703125" style="139" customWidth="1"/>
    <col min="13833" max="13833" width="15.5703125" style="139" bestFit="1" customWidth="1"/>
    <col min="13834" max="13834" width="13.5703125" style="139" customWidth="1"/>
    <col min="13835" max="13835" width="20.5703125" style="139" customWidth="1"/>
    <col min="13836" max="13836" width="12.42578125" style="139" bestFit="1" customWidth="1"/>
    <col min="13837" max="14080" width="9.140625" style="139"/>
    <col min="14081" max="14081" width="7.28515625" style="139" customWidth="1"/>
    <col min="14082" max="14082" width="42" style="139" customWidth="1"/>
    <col min="14083" max="14083" width="54.7109375" style="139" customWidth="1"/>
    <col min="14084" max="14084" width="31" style="139" bestFit="1" customWidth="1"/>
    <col min="14085" max="14085" width="20.140625" style="139" bestFit="1" customWidth="1"/>
    <col min="14086" max="14086" width="16.5703125" style="139" customWidth="1"/>
    <col min="14087" max="14087" width="18.7109375" style="139" bestFit="1" customWidth="1"/>
    <col min="14088" max="14088" width="17.5703125" style="139" customWidth="1"/>
    <col min="14089" max="14089" width="15.5703125" style="139" bestFit="1" customWidth="1"/>
    <col min="14090" max="14090" width="13.5703125" style="139" customWidth="1"/>
    <col min="14091" max="14091" width="20.5703125" style="139" customWidth="1"/>
    <col min="14092" max="14092" width="12.42578125" style="139" bestFit="1" customWidth="1"/>
    <col min="14093" max="14336" width="9.140625" style="139"/>
    <col min="14337" max="14337" width="7.28515625" style="139" customWidth="1"/>
    <col min="14338" max="14338" width="42" style="139" customWidth="1"/>
    <col min="14339" max="14339" width="54.7109375" style="139" customWidth="1"/>
    <col min="14340" max="14340" width="31" style="139" bestFit="1" customWidth="1"/>
    <col min="14341" max="14341" width="20.140625" style="139" bestFit="1" customWidth="1"/>
    <col min="14342" max="14342" width="16.5703125" style="139" customWidth="1"/>
    <col min="14343" max="14343" width="18.7109375" style="139" bestFit="1" customWidth="1"/>
    <col min="14344" max="14344" width="17.5703125" style="139" customWidth="1"/>
    <col min="14345" max="14345" width="15.5703125" style="139" bestFit="1" customWidth="1"/>
    <col min="14346" max="14346" width="13.5703125" style="139" customWidth="1"/>
    <col min="14347" max="14347" width="20.5703125" style="139" customWidth="1"/>
    <col min="14348" max="14348" width="12.42578125" style="139" bestFit="1" customWidth="1"/>
    <col min="14349" max="14592" width="9.140625" style="139"/>
    <col min="14593" max="14593" width="7.28515625" style="139" customWidth="1"/>
    <col min="14594" max="14594" width="42" style="139" customWidth="1"/>
    <col min="14595" max="14595" width="54.7109375" style="139" customWidth="1"/>
    <col min="14596" max="14596" width="31" style="139" bestFit="1" customWidth="1"/>
    <col min="14597" max="14597" width="20.140625" style="139" bestFit="1" customWidth="1"/>
    <col min="14598" max="14598" width="16.5703125" style="139" customWidth="1"/>
    <col min="14599" max="14599" width="18.7109375" style="139" bestFit="1" customWidth="1"/>
    <col min="14600" max="14600" width="17.5703125" style="139" customWidth="1"/>
    <col min="14601" max="14601" width="15.5703125" style="139" bestFit="1" customWidth="1"/>
    <col min="14602" max="14602" width="13.5703125" style="139" customWidth="1"/>
    <col min="14603" max="14603" width="20.5703125" style="139" customWidth="1"/>
    <col min="14604" max="14604" width="12.42578125" style="139" bestFit="1" customWidth="1"/>
    <col min="14605" max="14848" width="9.140625" style="139"/>
    <col min="14849" max="14849" width="7.28515625" style="139" customWidth="1"/>
    <col min="14850" max="14850" width="42" style="139" customWidth="1"/>
    <col min="14851" max="14851" width="54.7109375" style="139" customWidth="1"/>
    <col min="14852" max="14852" width="31" style="139" bestFit="1" customWidth="1"/>
    <col min="14853" max="14853" width="20.140625" style="139" bestFit="1" customWidth="1"/>
    <col min="14854" max="14854" width="16.5703125" style="139" customWidth="1"/>
    <col min="14855" max="14855" width="18.7109375" style="139" bestFit="1" customWidth="1"/>
    <col min="14856" max="14856" width="17.5703125" style="139" customWidth="1"/>
    <col min="14857" max="14857" width="15.5703125" style="139" bestFit="1" customWidth="1"/>
    <col min="14858" max="14858" width="13.5703125" style="139" customWidth="1"/>
    <col min="14859" max="14859" width="20.5703125" style="139" customWidth="1"/>
    <col min="14860" max="14860" width="12.42578125" style="139" bestFit="1" customWidth="1"/>
    <col min="14861" max="15104" width="9.140625" style="139"/>
    <col min="15105" max="15105" width="7.28515625" style="139" customWidth="1"/>
    <col min="15106" max="15106" width="42" style="139" customWidth="1"/>
    <col min="15107" max="15107" width="54.7109375" style="139" customWidth="1"/>
    <col min="15108" max="15108" width="31" style="139" bestFit="1" customWidth="1"/>
    <col min="15109" max="15109" width="20.140625" style="139" bestFit="1" customWidth="1"/>
    <col min="15110" max="15110" width="16.5703125" style="139" customWidth="1"/>
    <col min="15111" max="15111" width="18.7109375" style="139" bestFit="1" customWidth="1"/>
    <col min="15112" max="15112" width="17.5703125" style="139" customWidth="1"/>
    <col min="15113" max="15113" width="15.5703125" style="139" bestFit="1" customWidth="1"/>
    <col min="15114" max="15114" width="13.5703125" style="139" customWidth="1"/>
    <col min="15115" max="15115" width="20.5703125" style="139" customWidth="1"/>
    <col min="15116" max="15116" width="12.42578125" style="139" bestFit="1" customWidth="1"/>
    <col min="15117" max="15360" width="9.140625" style="139"/>
    <col min="15361" max="15361" width="7.28515625" style="139" customWidth="1"/>
    <col min="15362" max="15362" width="42" style="139" customWidth="1"/>
    <col min="15363" max="15363" width="54.7109375" style="139" customWidth="1"/>
    <col min="15364" max="15364" width="31" style="139" bestFit="1" customWidth="1"/>
    <col min="15365" max="15365" width="20.140625" style="139" bestFit="1" customWidth="1"/>
    <col min="15366" max="15366" width="16.5703125" style="139" customWidth="1"/>
    <col min="15367" max="15367" width="18.7109375" style="139" bestFit="1" customWidth="1"/>
    <col min="15368" max="15368" width="17.5703125" style="139" customWidth="1"/>
    <col min="15369" max="15369" width="15.5703125" style="139" bestFit="1" customWidth="1"/>
    <col min="15370" max="15370" width="13.5703125" style="139" customWidth="1"/>
    <col min="15371" max="15371" width="20.5703125" style="139" customWidth="1"/>
    <col min="15372" max="15372" width="12.42578125" style="139" bestFit="1" customWidth="1"/>
    <col min="15373" max="15616" width="9.140625" style="139"/>
    <col min="15617" max="15617" width="7.28515625" style="139" customWidth="1"/>
    <col min="15618" max="15618" width="42" style="139" customWidth="1"/>
    <col min="15619" max="15619" width="54.7109375" style="139" customWidth="1"/>
    <col min="15620" max="15620" width="31" style="139" bestFit="1" customWidth="1"/>
    <col min="15621" max="15621" width="20.140625" style="139" bestFit="1" customWidth="1"/>
    <col min="15622" max="15622" width="16.5703125" style="139" customWidth="1"/>
    <col min="15623" max="15623" width="18.7109375" style="139" bestFit="1" customWidth="1"/>
    <col min="15624" max="15624" width="17.5703125" style="139" customWidth="1"/>
    <col min="15625" max="15625" width="15.5703125" style="139" bestFit="1" customWidth="1"/>
    <col min="15626" max="15626" width="13.5703125" style="139" customWidth="1"/>
    <col min="15627" max="15627" width="20.5703125" style="139" customWidth="1"/>
    <col min="15628" max="15628" width="12.42578125" style="139" bestFit="1" customWidth="1"/>
    <col min="15629" max="15872" width="9.140625" style="139"/>
    <col min="15873" max="15873" width="7.28515625" style="139" customWidth="1"/>
    <col min="15874" max="15874" width="42" style="139" customWidth="1"/>
    <col min="15875" max="15875" width="54.7109375" style="139" customWidth="1"/>
    <col min="15876" max="15876" width="31" style="139" bestFit="1" customWidth="1"/>
    <col min="15877" max="15877" width="20.140625" style="139" bestFit="1" customWidth="1"/>
    <col min="15878" max="15878" width="16.5703125" style="139" customWidth="1"/>
    <col min="15879" max="15879" width="18.7109375" style="139" bestFit="1" customWidth="1"/>
    <col min="15880" max="15880" width="17.5703125" style="139" customWidth="1"/>
    <col min="15881" max="15881" width="15.5703125" style="139" bestFit="1" customWidth="1"/>
    <col min="15882" max="15882" width="13.5703125" style="139" customWidth="1"/>
    <col min="15883" max="15883" width="20.5703125" style="139" customWidth="1"/>
    <col min="15884" max="15884" width="12.42578125" style="139" bestFit="1" customWidth="1"/>
    <col min="15885" max="16128" width="9.140625" style="139"/>
    <col min="16129" max="16129" width="7.28515625" style="139" customWidth="1"/>
    <col min="16130" max="16130" width="42" style="139" customWidth="1"/>
    <col min="16131" max="16131" width="54.7109375" style="139" customWidth="1"/>
    <col min="16132" max="16132" width="31" style="139" bestFit="1" customWidth="1"/>
    <col min="16133" max="16133" width="20.140625" style="139" bestFit="1" customWidth="1"/>
    <col min="16134" max="16134" width="16.5703125" style="139" customWidth="1"/>
    <col min="16135" max="16135" width="18.7109375" style="139" bestFit="1" customWidth="1"/>
    <col min="16136" max="16136" width="17.5703125" style="139" customWidth="1"/>
    <col min="16137" max="16137" width="15.5703125" style="139" bestFit="1" customWidth="1"/>
    <col min="16138" max="16138" width="13.5703125" style="139" customWidth="1"/>
    <col min="16139" max="16139" width="20.5703125" style="139" customWidth="1"/>
    <col min="16140" max="16140" width="12.42578125" style="139" bestFit="1" customWidth="1"/>
    <col min="16141" max="16384" width="9.140625" style="139"/>
  </cols>
  <sheetData>
    <row r="1" spans="2:7" x14ac:dyDescent="0.25">
      <c r="G1" s="140" t="s">
        <v>895</v>
      </c>
    </row>
    <row r="2" spans="2:7" x14ac:dyDescent="0.25">
      <c r="B2" s="265" t="s">
        <v>1098</v>
      </c>
      <c r="C2" s="265"/>
      <c r="D2" s="265"/>
      <c r="E2" s="265"/>
      <c r="F2" s="265"/>
      <c r="G2" s="265"/>
    </row>
    <row r="3" spans="2:7" x14ac:dyDescent="0.25">
      <c r="B3" s="265" t="s">
        <v>1099</v>
      </c>
      <c r="C3" s="265"/>
      <c r="D3" s="265"/>
      <c r="E3" s="265"/>
      <c r="F3" s="265"/>
      <c r="G3" s="265"/>
    </row>
    <row r="4" spans="2:7" x14ac:dyDescent="0.25">
      <c r="B4" s="140"/>
      <c r="C4" s="140"/>
      <c r="D4" s="140"/>
      <c r="E4" s="140"/>
      <c r="F4" s="140"/>
      <c r="G4" s="140"/>
    </row>
    <row r="5" spans="2:7" x14ac:dyDescent="0.25">
      <c r="B5" s="265" t="s">
        <v>1100</v>
      </c>
      <c r="C5" s="265"/>
      <c r="D5" s="265"/>
      <c r="E5" s="265"/>
      <c r="F5" s="265"/>
      <c r="G5" s="265"/>
    </row>
    <row r="6" spans="2:7" x14ac:dyDescent="0.25">
      <c r="B6" s="140" t="s">
        <v>1101</v>
      </c>
    </row>
    <row r="8" spans="2:7" ht="27" x14ac:dyDescent="0.25">
      <c r="B8" s="141" t="s">
        <v>1102</v>
      </c>
      <c r="C8" s="141" t="s">
        <v>1103</v>
      </c>
      <c r="D8" s="141" t="s">
        <v>1104</v>
      </c>
      <c r="E8" s="142" t="s">
        <v>1105</v>
      </c>
      <c r="F8" s="142" t="s">
        <v>1106</v>
      </c>
      <c r="G8" s="142" t="s">
        <v>1107</v>
      </c>
    </row>
    <row r="9" spans="2:7" x14ac:dyDescent="0.25">
      <c r="B9" s="143" t="s">
        <v>636</v>
      </c>
      <c r="C9" s="143" t="s">
        <v>1108</v>
      </c>
      <c r="D9" s="144" t="s">
        <v>1109</v>
      </c>
      <c r="E9" s="145">
        <v>446.9</v>
      </c>
      <c r="F9" s="146">
        <v>447.45</v>
      </c>
      <c r="G9" s="147">
        <v>3.1599225</v>
      </c>
    </row>
    <row r="10" spans="2:7" x14ac:dyDescent="0.25">
      <c r="B10" s="143" t="s">
        <v>636</v>
      </c>
      <c r="C10" s="143" t="s">
        <v>1110</v>
      </c>
      <c r="D10" s="144" t="s">
        <v>1109</v>
      </c>
      <c r="E10" s="145">
        <v>2376.8000000000002</v>
      </c>
      <c r="F10" s="146">
        <v>2302.25</v>
      </c>
      <c r="G10" s="147">
        <v>202.06201960000001</v>
      </c>
    </row>
    <row r="11" spans="2:7" x14ac:dyDescent="0.25">
      <c r="B11" s="143" t="s">
        <v>636</v>
      </c>
      <c r="C11" s="143" t="s">
        <v>1111</v>
      </c>
      <c r="D11" s="144" t="s">
        <v>1109</v>
      </c>
      <c r="E11" s="145">
        <v>172.29</v>
      </c>
      <c r="F11" s="146">
        <v>180.03</v>
      </c>
      <c r="G11" s="147">
        <v>39.902219199999998</v>
      </c>
    </row>
    <row r="12" spans="2:7" x14ac:dyDescent="0.25">
      <c r="B12" s="143" t="s">
        <v>636</v>
      </c>
      <c r="C12" s="143" t="s">
        <v>1112</v>
      </c>
      <c r="D12" s="144" t="s">
        <v>1109</v>
      </c>
      <c r="E12" s="145">
        <v>282.31</v>
      </c>
      <c r="F12" s="146">
        <v>275.2</v>
      </c>
      <c r="G12" s="147">
        <v>29.054376000000001</v>
      </c>
    </row>
    <row r="13" spans="2:7" x14ac:dyDescent="0.25">
      <c r="B13" s="143" t="s">
        <v>636</v>
      </c>
      <c r="C13" s="143" t="s">
        <v>1113</v>
      </c>
      <c r="D13" s="144" t="s">
        <v>1109</v>
      </c>
      <c r="E13" s="145">
        <v>1234.49</v>
      </c>
      <c r="F13" s="146">
        <v>1177.7</v>
      </c>
      <c r="G13" s="147">
        <v>28.7534952</v>
      </c>
    </row>
    <row r="14" spans="2:7" x14ac:dyDescent="0.25">
      <c r="B14" s="143" t="s">
        <v>636</v>
      </c>
      <c r="C14" s="143" t="s">
        <v>1114</v>
      </c>
      <c r="D14" s="144" t="s">
        <v>1109</v>
      </c>
      <c r="E14" s="145">
        <v>955.38</v>
      </c>
      <c r="F14" s="146">
        <v>990.45</v>
      </c>
      <c r="G14" s="147">
        <v>123.5907442</v>
      </c>
    </row>
    <row r="15" spans="2:7" x14ac:dyDescent="0.25">
      <c r="B15" s="143" t="s">
        <v>636</v>
      </c>
      <c r="C15" s="143" t="s">
        <v>1115</v>
      </c>
      <c r="D15" s="144" t="s">
        <v>1109</v>
      </c>
      <c r="E15" s="145">
        <v>7495.53</v>
      </c>
      <c r="F15" s="146">
        <v>7930.9</v>
      </c>
      <c r="G15" s="147">
        <v>62.986568399999996</v>
      </c>
    </row>
    <row r="16" spans="2:7" x14ac:dyDescent="0.25">
      <c r="B16" s="143" t="s">
        <v>636</v>
      </c>
      <c r="C16" s="143" t="s">
        <v>1116</v>
      </c>
      <c r="D16" s="144" t="s">
        <v>1109</v>
      </c>
      <c r="E16" s="145">
        <v>1748.34</v>
      </c>
      <c r="F16" s="146">
        <v>1746.55</v>
      </c>
      <c r="G16" s="147">
        <v>10.786624100000001</v>
      </c>
    </row>
    <row r="17" spans="2:7" x14ac:dyDescent="0.25">
      <c r="B17" s="143" t="s">
        <v>636</v>
      </c>
      <c r="C17" s="143" t="s">
        <v>1117</v>
      </c>
      <c r="D17" s="144" t="s">
        <v>1109</v>
      </c>
      <c r="E17" s="145">
        <v>224.29</v>
      </c>
      <c r="F17" s="146">
        <v>214.07</v>
      </c>
      <c r="G17" s="147">
        <v>73.607464799999988</v>
      </c>
    </row>
    <row r="18" spans="2:7" x14ac:dyDescent="0.25">
      <c r="B18" s="143" t="s">
        <v>636</v>
      </c>
      <c r="C18" s="143" t="s">
        <v>1118</v>
      </c>
      <c r="D18" s="144" t="s">
        <v>1109</v>
      </c>
      <c r="E18" s="145">
        <v>276.68</v>
      </c>
      <c r="F18" s="146">
        <v>293.3</v>
      </c>
      <c r="G18" s="147">
        <v>28.871426999999997</v>
      </c>
    </row>
    <row r="19" spans="2:7" x14ac:dyDescent="0.25">
      <c r="B19" s="143" t="s">
        <v>636</v>
      </c>
      <c r="C19" s="143" t="s">
        <v>1119</v>
      </c>
      <c r="D19" s="144" t="s">
        <v>1109</v>
      </c>
      <c r="E19" s="145">
        <v>1662.69</v>
      </c>
      <c r="F19" s="146">
        <v>1633.65</v>
      </c>
      <c r="G19" s="147">
        <v>65.804846400000002</v>
      </c>
    </row>
    <row r="20" spans="2:7" x14ac:dyDescent="0.25">
      <c r="B20" s="143" t="s">
        <v>636</v>
      </c>
      <c r="C20" s="143" t="s">
        <v>1120</v>
      </c>
      <c r="D20" s="144" t="s">
        <v>1109</v>
      </c>
      <c r="E20" s="145">
        <v>99.47</v>
      </c>
      <c r="F20" s="146">
        <v>93.58</v>
      </c>
      <c r="G20" s="147">
        <v>35.311444999999999</v>
      </c>
    </row>
    <row r="21" spans="2:7" x14ac:dyDescent="0.25">
      <c r="B21" s="143" t="s">
        <v>636</v>
      </c>
      <c r="C21" s="143" t="s">
        <v>1121</v>
      </c>
      <c r="D21" s="144" t="s">
        <v>1109</v>
      </c>
      <c r="E21" s="145">
        <v>1447.78</v>
      </c>
      <c r="F21" s="146">
        <v>1486.45</v>
      </c>
      <c r="G21" s="147">
        <v>34.132247999999997</v>
      </c>
    </row>
    <row r="22" spans="2:7" x14ac:dyDescent="0.25">
      <c r="B22" s="143" t="s">
        <v>636</v>
      </c>
      <c r="C22" s="143" t="s">
        <v>1122</v>
      </c>
      <c r="D22" s="144" t="s">
        <v>1109</v>
      </c>
      <c r="E22" s="145">
        <v>366.18</v>
      </c>
      <c r="F22" s="146">
        <v>397.05</v>
      </c>
      <c r="G22" s="147">
        <v>12.372688499999999</v>
      </c>
    </row>
    <row r="23" spans="2:7" x14ac:dyDescent="0.25">
      <c r="B23" s="143" t="s">
        <v>636</v>
      </c>
      <c r="C23" s="143" t="s">
        <v>1123</v>
      </c>
      <c r="D23" s="144" t="s">
        <v>1109</v>
      </c>
      <c r="E23" s="145">
        <v>714.39</v>
      </c>
      <c r="F23" s="146">
        <v>749.6</v>
      </c>
      <c r="G23" s="147">
        <v>136.24696799999998</v>
      </c>
    </row>
    <row r="24" spans="2:7" x14ac:dyDescent="0.25">
      <c r="B24" s="143" t="s">
        <v>636</v>
      </c>
      <c r="C24" s="143" t="s">
        <v>1124</v>
      </c>
      <c r="D24" s="144" t="s">
        <v>1109</v>
      </c>
      <c r="E24" s="145">
        <v>543.41999999999996</v>
      </c>
      <c r="F24" s="146">
        <v>515.9</v>
      </c>
      <c r="G24" s="147">
        <v>169.26696000000001</v>
      </c>
    </row>
    <row r="25" spans="2:7" x14ac:dyDescent="0.25">
      <c r="B25" s="143" t="s">
        <v>636</v>
      </c>
      <c r="C25" s="143" t="s">
        <v>1125</v>
      </c>
      <c r="D25" s="144" t="s">
        <v>1109</v>
      </c>
      <c r="E25" s="145">
        <v>615.91999999999996</v>
      </c>
      <c r="F25" s="146">
        <v>597.45000000000005</v>
      </c>
      <c r="G25" s="147">
        <v>97.578648999999984</v>
      </c>
    </row>
    <row r="26" spans="2:7" x14ac:dyDescent="0.25">
      <c r="B26" s="143" t="s">
        <v>636</v>
      </c>
      <c r="C26" s="143" t="s">
        <v>1126</v>
      </c>
      <c r="D26" s="144" t="s">
        <v>1109</v>
      </c>
      <c r="E26" s="145">
        <v>1231.5</v>
      </c>
      <c r="F26" s="146">
        <v>1257.45</v>
      </c>
      <c r="G26" s="147">
        <v>169.61547769999999</v>
      </c>
    </row>
    <row r="27" spans="2:7" x14ac:dyDescent="0.25">
      <c r="B27" s="143" t="s">
        <v>636</v>
      </c>
      <c r="C27" s="143" t="s">
        <v>1127</v>
      </c>
      <c r="D27" s="144" t="s">
        <v>1109</v>
      </c>
      <c r="E27" s="145">
        <v>791.12</v>
      </c>
      <c r="F27" s="146">
        <v>769.15</v>
      </c>
      <c r="G27" s="147">
        <v>90.920945000000003</v>
      </c>
    </row>
    <row r="28" spans="2:7" x14ac:dyDescent="0.25">
      <c r="B28" s="143" t="s">
        <v>636</v>
      </c>
      <c r="C28" s="143" t="s">
        <v>1128</v>
      </c>
      <c r="D28" s="144" t="s">
        <v>1109</v>
      </c>
      <c r="E28" s="145">
        <v>123.43</v>
      </c>
      <c r="F28" s="146">
        <v>129.25</v>
      </c>
      <c r="G28" s="147">
        <v>7.7464967999999992</v>
      </c>
    </row>
    <row r="29" spans="2:7" x14ac:dyDescent="0.25">
      <c r="B29" s="143" t="s">
        <v>636</v>
      </c>
      <c r="C29" s="143" t="s">
        <v>1129</v>
      </c>
      <c r="D29" s="144" t="s">
        <v>1109</v>
      </c>
      <c r="E29" s="145">
        <v>359.88</v>
      </c>
      <c r="F29" s="146">
        <v>348.7</v>
      </c>
      <c r="G29" s="147">
        <v>240.54517199999998</v>
      </c>
    </row>
    <row r="30" spans="2:7" x14ac:dyDescent="0.25">
      <c r="B30" s="143" t="s">
        <v>636</v>
      </c>
      <c r="C30" s="143" t="s">
        <v>1130</v>
      </c>
      <c r="D30" s="144" t="s">
        <v>1109</v>
      </c>
      <c r="E30" s="145">
        <v>965.45</v>
      </c>
      <c r="F30" s="146">
        <v>998</v>
      </c>
      <c r="G30" s="147">
        <v>104.63095</v>
      </c>
    </row>
    <row r="31" spans="2:7" x14ac:dyDescent="0.25">
      <c r="B31" s="143" t="s">
        <v>636</v>
      </c>
      <c r="C31" s="143" t="s">
        <v>1131</v>
      </c>
      <c r="D31" s="144" t="s">
        <v>1109</v>
      </c>
      <c r="E31" s="145">
        <v>433.06</v>
      </c>
      <c r="F31" s="146">
        <v>444.1</v>
      </c>
      <c r="G31" s="147">
        <v>181.26336800000001</v>
      </c>
    </row>
    <row r="32" spans="2:7" x14ac:dyDescent="0.25">
      <c r="B32" s="143" t="s">
        <v>636</v>
      </c>
      <c r="C32" s="143" t="s">
        <v>1132</v>
      </c>
      <c r="D32" s="144" t="s">
        <v>1109</v>
      </c>
      <c r="E32" s="145">
        <v>1913.83</v>
      </c>
      <c r="F32" s="146">
        <v>1911.15</v>
      </c>
      <c r="G32" s="147">
        <v>47.244435000000003</v>
      </c>
    </row>
    <row r="33" spans="2:7" x14ac:dyDescent="0.25">
      <c r="B33" s="143" t="s">
        <v>636</v>
      </c>
      <c r="C33" s="143" t="s">
        <v>1133</v>
      </c>
      <c r="D33" s="144" t="s">
        <v>1109</v>
      </c>
      <c r="E33" s="145">
        <v>3529.96</v>
      </c>
      <c r="F33" s="146">
        <v>3579.25</v>
      </c>
      <c r="G33" s="147">
        <v>118.67695000000001</v>
      </c>
    </row>
    <row r="34" spans="2:7" x14ac:dyDescent="0.25">
      <c r="B34" s="143" t="s">
        <v>636</v>
      </c>
      <c r="C34" s="143" t="s">
        <v>1134</v>
      </c>
      <c r="D34" s="144" t="s">
        <v>1109</v>
      </c>
      <c r="E34" s="145">
        <v>2879.94</v>
      </c>
      <c r="F34" s="146">
        <v>3007.35</v>
      </c>
      <c r="G34" s="147">
        <v>22.412284400000001</v>
      </c>
    </row>
    <row r="35" spans="2:7" x14ac:dyDescent="0.25">
      <c r="B35" s="143" t="s">
        <v>636</v>
      </c>
      <c r="C35" s="143" t="s">
        <v>1135</v>
      </c>
      <c r="D35" s="144" t="s">
        <v>1109</v>
      </c>
      <c r="E35" s="145">
        <v>317.68</v>
      </c>
      <c r="F35" s="146">
        <v>325.45</v>
      </c>
      <c r="G35" s="147">
        <v>8.4119517000000013</v>
      </c>
    </row>
    <row r="36" spans="2:7" x14ac:dyDescent="0.25">
      <c r="B36" s="143" t="s">
        <v>636</v>
      </c>
      <c r="C36" s="143" t="s">
        <v>1136</v>
      </c>
      <c r="D36" s="144" t="s">
        <v>1109</v>
      </c>
      <c r="E36" s="145">
        <v>98.42</v>
      </c>
      <c r="F36" s="146">
        <v>101.83</v>
      </c>
      <c r="G36" s="147">
        <v>94.496200000000002</v>
      </c>
    </row>
    <row r="37" spans="2:7" x14ac:dyDescent="0.25">
      <c r="B37" s="143" t="s">
        <v>636</v>
      </c>
      <c r="C37" s="143" t="s">
        <v>1137</v>
      </c>
      <c r="D37" s="144" t="s">
        <v>1109</v>
      </c>
      <c r="E37" s="145">
        <v>1269.6500000000001</v>
      </c>
      <c r="F37" s="146">
        <v>1270.05</v>
      </c>
      <c r="G37" s="147">
        <v>336.73764</v>
      </c>
    </row>
    <row r="38" spans="2:7" x14ac:dyDescent="0.25">
      <c r="B38" s="143" t="s">
        <v>636</v>
      </c>
      <c r="C38" s="143" t="s">
        <v>1138</v>
      </c>
      <c r="D38" s="144" t="s">
        <v>1109</v>
      </c>
      <c r="E38" s="145">
        <v>1486.63</v>
      </c>
      <c r="F38" s="146">
        <v>1488.5</v>
      </c>
      <c r="G38" s="147">
        <v>32.574402300000003</v>
      </c>
    </row>
    <row r="39" spans="2:7" x14ac:dyDescent="0.25">
      <c r="B39" s="143" t="s">
        <v>636</v>
      </c>
      <c r="C39" s="143" t="s">
        <v>1139</v>
      </c>
      <c r="D39" s="144" t="s">
        <v>1109</v>
      </c>
      <c r="E39" s="145">
        <v>812.81</v>
      </c>
      <c r="F39" s="146">
        <v>775.8</v>
      </c>
      <c r="G39" s="147">
        <v>16.523160000000001</v>
      </c>
    </row>
    <row r="40" spans="2:7" x14ac:dyDescent="0.25">
      <c r="B40" s="143" t="s">
        <v>636</v>
      </c>
      <c r="C40" s="143" t="s">
        <v>1140</v>
      </c>
      <c r="D40" s="144" t="s">
        <v>1109</v>
      </c>
      <c r="E40" s="145">
        <v>1830.4</v>
      </c>
      <c r="F40" s="146">
        <v>1744.75</v>
      </c>
      <c r="G40" s="147">
        <v>101.74201859999999</v>
      </c>
    </row>
    <row r="41" spans="2:7" x14ac:dyDescent="0.25">
      <c r="B41" s="143" t="s">
        <v>636</v>
      </c>
      <c r="C41" s="143" t="s">
        <v>1141</v>
      </c>
      <c r="D41" s="144" t="s">
        <v>1109</v>
      </c>
      <c r="E41" s="145">
        <v>4116.28</v>
      </c>
      <c r="F41" s="146">
        <v>4133.6000000000004</v>
      </c>
      <c r="G41" s="147">
        <v>123.899846</v>
      </c>
    </row>
    <row r="42" spans="2:7" x14ac:dyDescent="0.25">
      <c r="B42" s="143" t="s">
        <v>636</v>
      </c>
      <c r="C42" s="143" t="s">
        <v>1142</v>
      </c>
      <c r="D42" s="144" t="s">
        <v>1109</v>
      </c>
      <c r="E42" s="145">
        <v>753.18</v>
      </c>
      <c r="F42" s="146">
        <v>719.3</v>
      </c>
      <c r="G42" s="147">
        <v>178.78968839999999</v>
      </c>
    </row>
    <row r="43" spans="2:7" x14ac:dyDescent="0.25">
      <c r="B43" s="143" t="s">
        <v>636</v>
      </c>
      <c r="C43" s="143" t="s">
        <v>1143</v>
      </c>
      <c r="D43" s="144" t="s">
        <v>1109</v>
      </c>
      <c r="E43" s="145">
        <v>384.73</v>
      </c>
      <c r="F43" s="146">
        <v>366.35</v>
      </c>
      <c r="G43" s="147">
        <v>58.287922000000002</v>
      </c>
    </row>
    <row r="44" spans="2:7" x14ac:dyDescent="0.25">
      <c r="B44" s="143" t="s">
        <v>636</v>
      </c>
      <c r="C44" s="143" t="s">
        <v>1144</v>
      </c>
      <c r="D44" s="144" t="s">
        <v>1109</v>
      </c>
      <c r="E44" s="145">
        <v>140.46</v>
      </c>
      <c r="F44" s="146">
        <v>135.19</v>
      </c>
      <c r="G44" s="147">
        <v>35.037270000000007</v>
      </c>
    </row>
    <row r="45" spans="2:7" x14ac:dyDescent="0.25">
      <c r="B45" s="143" t="s">
        <v>636</v>
      </c>
      <c r="C45" s="143" t="s">
        <v>1145</v>
      </c>
      <c r="D45" s="144" t="s">
        <v>1109</v>
      </c>
      <c r="E45" s="145">
        <v>3355.05</v>
      </c>
      <c r="F45" s="146">
        <v>3508</v>
      </c>
      <c r="G45" s="147">
        <v>13.00887</v>
      </c>
    </row>
    <row r="46" spans="2:7" x14ac:dyDescent="0.25">
      <c r="B46" s="143"/>
      <c r="C46" s="148"/>
      <c r="D46" s="144"/>
      <c r="E46" s="145"/>
      <c r="F46" s="149"/>
      <c r="G46" s="150"/>
    </row>
    <row r="47" spans="2:7" x14ac:dyDescent="0.25">
      <c r="B47" s="143" t="s">
        <v>664</v>
      </c>
      <c r="C47" s="151" t="s">
        <v>1114</v>
      </c>
      <c r="D47" s="144" t="s">
        <v>1109</v>
      </c>
      <c r="E47" s="152">
        <v>995.49</v>
      </c>
      <c r="F47" s="153">
        <v>990.45</v>
      </c>
      <c r="G47" s="147">
        <v>44.842659399999995</v>
      </c>
    </row>
    <row r="48" spans="2:7" x14ac:dyDescent="0.25">
      <c r="B48" s="143" t="s">
        <v>664</v>
      </c>
      <c r="C48" s="151" t="s">
        <v>1115</v>
      </c>
      <c r="D48" s="144" t="s">
        <v>1109</v>
      </c>
      <c r="E48" s="152">
        <v>7410.89</v>
      </c>
      <c r="F48" s="153">
        <v>7930.9</v>
      </c>
      <c r="G48" s="147">
        <v>241.44851219999998</v>
      </c>
    </row>
    <row r="49" spans="2:7" x14ac:dyDescent="0.25">
      <c r="B49" s="143" t="s">
        <v>664</v>
      </c>
      <c r="C49" s="151" t="s">
        <v>1116</v>
      </c>
      <c r="D49" s="144" t="s">
        <v>1109</v>
      </c>
      <c r="E49" s="152">
        <v>1720.06</v>
      </c>
      <c r="F49" s="153">
        <v>1746.55</v>
      </c>
      <c r="G49" s="147">
        <v>234.22383760000002</v>
      </c>
    </row>
    <row r="50" spans="2:7" x14ac:dyDescent="0.25">
      <c r="B50" s="143" t="s">
        <v>664</v>
      </c>
      <c r="C50" s="151" t="s">
        <v>1117</v>
      </c>
      <c r="D50" s="144" t="s">
        <v>1109</v>
      </c>
      <c r="E50" s="152">
        <v>224.12</v>
      </c>
      <c r="F50" s="153">
        <v>214.07</v>
      </c>
      <c r="G50" s="147">
        <v>433.46618159999997</v>
      </c>
    </row>
    <row r="51" spans="2:7" x14ac:dyDescent="0.25">
      <c r="B51" s="143" t="s">
        <v>664</v>
      </c>
      <c r="C51" s="151" t="s">
        <v>1119</v>
      </c>
      <c r="D51" s="144" t="s">
        <v>1109</v>
      </c>
      <c r="E51" s="152">
        <v>1620.42</v>
      </c>
      <c r="F51" s="153">
        <v>1633.65</v>
      </c>
      <c r="G51" s="147">
        <v>364.66852379999995</v>
      </c>
    </row>
    <row r="52" spans="2:7" x14ac:dyDescent="0.25">
      <c r="B52" s="143" t="s">
        <v>664</v>
      </c>
      <c r="C52" s="151" t="s">
        <v>1120</v>
      </c>
      <c r="D52" s="144" t="s">
        <v>1109</v>
      </c>
      <c r="E52" s="152">
        <v>92.98</v>
      </c>
      <c r="F52" s="153">
        <v>93.58</v>
      </c>
      <c r="G52" s="147">
        <v>401.13801520000004</v>
      </c>
    </row>
    <row r="53" spans="2:7" x14ac:dyDescent="0.25">
      <c r="B53" s="143" t="s">
        <v>664</v>
      </c>
      <c r="C53" s="151" t="s">
        <v>1121</v>
      </c>
      <c r="D53" s="144" t="s">
        <v>1109</v>
      </c>
      <c r="E53" s="152">
        <v>1402.99</v>
      </c>
      <c r="F53" s="153">
        <v>1486.45</v>
      </c>
      <c r="G53" s="147">
        <v>337.90925519999996</v>
      </c>
    </row>
    <row r="54" spans="2:7" x14ac:dyDescent="0.25">
      <c r="B54" s="143" t="s">
        <v>664</v>
      </c>
      <c r="C54" s="151" t="s">
        <v>1146</v>
      </c>
      <c r="D54" s="144" t="s">
        <v>1109</v>
      </c>
      <c r="E54" s="152">
        <v>169</v>
      </c>
      <c r="F54" s="153">
        <v>177.98</v>
      </c>
      <c r="G54" s="147">
        <v>28.573157999999999</v>
      </c>
    </row>
    <row r="55" spans="2:7" x14ac:dyDescent="0.25">
      <c r="B55" s="143" t="s">
        <v>664</v>
      </c>
      <c r="C55" s="151" t="s">
        <v>1125</v>
      </c>
      <c r="D55" s="144" t="s">
        <v>1109</v>
      </c>
      <c r="E55" s="152">
        <v>596.70000000000005</v>
      </c>
      <c r="F55" s="153">
        <v>597.45000000000005</v>
      </c>
      <c r="G55" s="147">
        <v>117.767335</v>
      </c>
    </row>
    <row r="56" spans="2:7" x14ac:dyDescent="0.25">
      <c r="B56" s="143" t="s">
        <v>664</v>
      </c>
      <c r="C56" s="151" t="s">
        <v>1130</v>
      </c>
      <c r="D56" s="144" t="s">
        <v>1109</v>
      </c>
      <c r="E56" s="152">
        <v>936.38</v>
      </c>
      <c r="F56" s="153">
        <v>998</v>
      </c>
      <c r="G56" s="147">
        <v>598.77909999999997</v>
      </c>
    </row>
    <row r="57" spans="2:7" x14ac:dyDescent="0.25">
      <c r="B57" s="143" t="s">
        <v>664</v>
      </c>
      <c r="C57" s="151" t="s">
        <v>1147</v>
      </c>
      <c r="D57" s="144" t="s">
        <v>1109</v>
      </c>
      <c r="E57" s="152">
        <v>1853.4</v>
      </c>
      <c r="F57" s="153">
        <v>1888.1</v>
      </c>
      <c r="G57" s="147">
        <v>134.77177399999999</v>
      </c>
    </row>
    <row r="58" spans="2:7" x14ac:dyDescent="0.25">
      <c r="B58" s="143" t="s">
        <v>664</v>
      </c>
      <c r="C58" s="151" t="s">
        <v>1132</v>
      </c>
      <c r="D58" s="144" t="s">
        <v>1109</v>
      </c>
      <c r="E58" s="152">
        <v>1895.64</v>
      </c>
      <c r="F58" s="153">
        <v>1911.15</v>
      </c>
      <c r="G58" s="147">
        <v>376.605639</v>
      </c>
    </row>
    <row r="59" spans="2:7" x14ac:dyDescent="0.25">
      <c r="B59" s="143" t="s">
        <v>664</v>
      </c>
      <c r="C59" s="151" t="s">
        <v>1148</v>
      </c>
      <c r="D59" s="144" t="s">
        <v>1109</v>
      </c>
      <c r="E59" s="152">
        <v>1309.6099999999999</v>
      </c>
      <c r="F59" s="153">
        <v>1371.8</v>
      </c>
      <c r="G59" s="147">
        <v>14.956172000000002</v>
      </c>
    </row>
    <row r="60" spans="2:7" x14ac:dyDescent="0.25">
      <c r="B60" s="143" t="s">
        <v>664</v>
      </c>
      <c r="C60" s="151" t="s">
        <v>1134</v>
      </c>
      <c r="D60" s="144" t="s">
        <v>1109</v>
      </c>
      <c r="E60" s="152">
        <v>2806.29</v>
      </c>
      <c r="F60" s="154">
        <v>3007.35</v>
      </c>
      <c r="G60" s="155">
        <v>429.90836440000004</v>
      </c>
    </row>
    <row r="61" spans="2:7" x14ac:dyDescent="0.25">
      <c r="B61" s="143" t="s">
        <v>664</v>
      </c>
      <c r="C61" s="151" t="s">
        <v>1137</v>
      </c>
      <c r="D61" s="144" t="s">
        <v>1109</v>
      </c>
      <c r="E61" s="152">
        <v>1249.9000000000001</v>
      </c>
      <c r="F61" s="153">
        <v>1270.05</v>
      </c>
      <c r="G61" s="156">
        <v>361.43173359999997</v>
      </c>
    </row>
    <row r="62" spans="2:7" x14ac:dyDescent="0.25">
      <c r="B62" s="143" t="s">
        <v>664</v>
      </c>
      <c r="C62" s="151" t="s">
        <v>1142</v>
      </c>
      <c r="D62" s="144" t="s">
        <v>1109</v>
      </c>
      <c r="E62" s="152">
        <v>717.89</v>
      </c>
      <c r="F62" s="153">
        <v>719.3</v>
      </c>
      <c r="G62" s="156">
        <v>89.394844199999994</v>
      </c>
    </row>
    <row r="63" spans="2:7" x14ac:dyDescent="0.25">
      <c r="B63" s="143" t="s">
        <v>664</v>
      </c>
      <c r="C63" s="151" t="s">
        <v>1145</v>
      </c>
      <c r="D63" s="144" t="s">
        <v>1109</v>
      </c>
      <c r="E63" s="152">
        <v>3387.23</v>
      </c>
      <c r="F63" s="153">
        <v>3508</v>
      </c>
      <c r="G63" s="156">
        <v>21.681450000000002</v>
      </c>
    </row>
    <row r="64" spans="2:7" x14ac:dyDescent="0.25">
      <c r="B64" s="143"/>
      <c r="C64" s="151"/>
      <c r="D64" s="144"/>
      <c r="E64" s="152"/>
      <c r="F64" s="153"/>
      <c r="G64" s="156"/>
    </row>
    <row r="65" spans="2:8" x14ac:dyDescent="0.25">
      <c r="B65" s="143" t="s">
        <v>692</v>
      </c>
      <c r="C65" s="157" t="s">
        <v>1110</v>
      </c>
      <c r="D65" s="144" t="s">
        <v>1109</v>
      </c>
      <c r="E65" s="158">
        <v>2308.5700000000002</v>
      </c>
      <c r="F65" s="159">
        <v>2302.25</v>
      </c>
      <c r="G65" s="160">
        <v>92.24570460000001</v>
      </c>
      <c r="H65" s="161"/>
    </row>
    <row r="66" spans="2:8" x14ac:dyDescent="0.25">
      <c r="B66" s="143" t="s">
        <v>692</v>
      </c>
      <c r="C66" s="157" t="s">
        <v>651</v>
      </c>
      <c r="D66" s="144" t="s">
        <v>1109</v>
      </c>
      <c r="E66" s="158">
        <v>263.45</v>
      </c>
      <c r="F66" s="159">
        <v>275.2</v>
      </c>
      <c r="G66" s="160">
        <v>129.13056</v>
      </c>
      <c r="H66" s="161"/>
    </row>
    <row r="67" spans="2:8" x14ac:dyDescent="0.25">
      <c r="B67" s="143" t="s">
        <v>692</v>
      </c>
      <c r="C67" s="157" t="s">
        <v>1113</v>
      </c>
      <c r="D67" s="144" t="s">
        <v>1109</v>
      </c>
      <c r="E67" s="158">
        <v>1160.78</v>
      </c>
      <c r="F67" s="159">
        <v>1177.7</v>
      </c>
      <c r="G67" s="160">
        <v>95.844983999999997</v>
      </c>
      <c r="H67" s="161"/>
    </row>
    <row r="68" spans="2:8" x14ac:dyDescent="0.25">
      <c r="B68" s="143" t="s">
        <v>692</v>
      </c>
      <c r="C68" s="157" t="s">
        <v>1114</v>
      </c>
      <c r="D68" s="144" t="s">
        <v>1109</v>
      </c>
      <c r="E68" s="158">
        <v>948.54</v>
      </c>
      <c r="F68" s="159">
        <v>990.45</v>
      </c>
      <c r="G68" s="160">
        <v>529.3621255999999</v>
      </c>
      <c r="H68" s="161"/>
    </row>
    <row r="69" spans="2:8" x14ac:dyDescent="0.25">
      <c r="B69" s="143" t="s">
        <v>692</v>
      </c>
      <c r="C69" s="157" t="s">
        <v>1115</v>
      </c>
      <c r="D69" s="144" t="s">
        <v>1109</v>
      </c>
      <c r="E69" s="158">
        <v>7428.93</v>
      </c>
      <c r="F69" s="159">
        <v>7930.9</v>
      </c>
      <c r="G69" s="160">
        <v>10.497761400000002</v>
      </c>
      <c r="H69" s="161"/>
    </row>
    <row r="70" spans="2:8" x14ac:dyDescent="0.25">
      <c r="B70" s="143" t="s">
        <v>692</v>
      </c>
      <c r="C70" s="157" t="s">
        <v>1116</v>
      </c>
      <c r="D70" s="144" t="s">
        <v>1109</v>
      </c>
      <c r="E70" s="158">
        <v>1725.57</v>
      </c>
      <c r="F70" s="159">
        <v>1746.55</v>
      </c>
      <c r="G70" s="160">
        <v>18.491355600000002</v>
      </c>
      <c r="H70" s="161"/>
    </row>
    <row r="71" spans="2:8" x14ac:dyDescent="0.25">
      <c r="B71" s="143" t="s">
        <v>692</v>
      </c>
      <c r="C71" s="157" t="s">
        <v>1117</v>
      </c>
      <c r="D71" s="144" t="s">
        <v>1109</v>
      </c>
      <c r="E71" s="158">
        <v>222.2</v>
      </c>
      <c r="F71" s="159">
        <v>214.07</v>
      </c>
      <c r="G71" s="160">
        <v>189.47106679999999</v>
      </c>
      <c r="H71" s="161"/>
    </row>
    <row r="72" spans="2:8" x14ac:dyDescent="0.25">
      <c r="B72" s="143" t="s">
        <v>692</v>
      </c>
      <c r="C72" s="157" t="s">
        <v>1119</v>
      </c>
      <c r="D72" s="144" t="s">
        <v>1109</v>
      </c>
      <c r="E72" s="158">
        <v>1624.3</v>
      </c>
      <c r="F72" s="159">
        <v>1633.65</v>
      </c>
      <c r="G72" s="160">
        <v>706.03116450000005</v>
      </c>
      <c r="H72" s="161"/>
    </row>
    <row r="73" spans="2:8" x14ac:dyDescent="0.25">
      <c r="B73" s="143" t="s">
        <v>692</v>
      </c>
      <c r="C73" s="157" t="s">
        <v>1149</v>
      </c>
      <c r="D73" s="144" t="s">
        <v>1109</v>
      </c>
      <c r="E73" s="158">
        <v>1236.93</v>
      </c>
      <c r="F73" s="159">
        <v>1292</v>
      </c>
      <c r="G73" s="160">
        <v>42.9140625</v>
      </c>
      <c r="H73" s="161"/>
    </row>
    <row r="74" spans="2:8" x14ac:dyDescent="0.25">
      <c r="B74" s="143" t="s">
        <v>692</v>
      </c>
      <c r="C74" s="157" t="s">
        <v>1123</v>
      </c>
      <c r="D74" s="144" t="s">
        <v>1109</v>
      </c>
      <c r="E74" s="158">
        <v>718.96</v>
      </c>
      <c r="F74" s="159">
        <v>749.6</v>
      </c>
      <c r="G74" s="160">
        <v>56.332880999999993</v>
      </c>
      <c r="H74" s="161"/>
    </row>
    <row r="75" spans="2:8" x14ac:dyDescent="0.25">
      <c r="B75" s="143" t="s">
        <v>692</v>
      </c>
      <c r="C75" s="157" t="s">
        <v>1150</v>
      </c>
      <c r="D75" s="144" t="s">
        <v>1109</v>
      </c>
      <c r="E75" s="158">
        <v>2473.86</v>
      </c>
      <c r="F75" s="159">
        <v>2518.6</v>
      </c>
      <c r="G75" s="160">
        <v>8.9036200000000001</v>
      </c>
      <c r="H75" s="161"/>
    </row>
    <row r="76" spans="2:8" x14ac:dyDescent="0.25">
      <c r="B76" s="143" t="s">
        <v>692</v>
      </c>
      <c r="C76" s="157" t="s">
        <v>1124</v>
      </c>
      <c r="D76" s="144" t="s">
        <v>1109</v>
      </c>
      <c r="E76" s="158">
        <v>547.95000000000005</v>
      </c>
      <c r="F76" s="159">
        <v>515.9</v>
      </c>
      <c r="G76" s="160">
        <v>10.579185000000001</v>
      </c>
      <c r="H76" s="161"/>
    </row>
    <row r="77" spans="2:8" x14ac:dyDescent="0.25">
      <c r="B77" s="143" t="s">
        <v>692</v>
      </c>
      <c r="C77" s="157" t="s">
        <v>1151</v>
      </c>
      <c r="D77" s="144" t="s">
        <v>1109</v>
      </c>
      <c r="E77" s="158">
        <v>1728.74</v>
      </c>
      <c r="F77" s="159">
        <v>1735.35</v>
      </c>
      <c r="G77" s="160">
        <v>585.31494840000005</v>
      </c>
      <c r="H77" s="161"/>
    </row>
    <row r="78" spans="2:8" x14ac:dyDescent="0.25">
      <c r="B78" s="143" t="s">
        <v>692</v>
      </c>
      <c r="C78" s="157" t="s">
        <v>1152</v>
      </c>
      <c r="D78" s="144" t="s">
        <v>1109</v>
      </c>
      <c r="E78" s="158">
        <v>613.16</v>
      </c>
      <c r="F78" s="159">
        <v>640.9</v>
      </c>
      <c r="G78" s="160">
        <v>88.433801500000001</v>
      </c>
      <c r="H78" s="161"/>
    </row>
    <row r="79" spans="2:8" x14ac:dyDescent="0.25">
      <c r="B79" s="143" t="s">
        <v>692</v>
      </c>
      <c r="C79" s="157" t="s">
        <v>1153</v>
      </c>
      <c r="D79" s="144" t="s">
        <v>1109</v>
      </c>
      <c r="E79" s="158">
        <v>4048.72</v>
      </c>
      <c r="F79" s="159">
        <v>4311</v>
      </c>
      <c r="G79" s="160">
        <v>40.340737500000003</v>
      </c>
      <c r="H79" s="161"/>
    </row>
    <row r="80" spans="2:8" x14ac:dyDescent="0.25">
      <c r="B80" s="143" t="s">
        <v>692</v>
      </c>
      <c r="C80" s="157" t="s">
        <v>1125</v>
      </c>
      <c r="D80" s="144" t="s">
        <v>1109</v>
      </c>
      <c r="E80" s="158">
        <v>586.30999999999995</v>
      </c>
      <c r="F80" s="159">
        <v>597.45000000000005</v>
      </c>
      <c r="G80" s="160">
        <v>180.01578349999997</v>
      </c>
      <c r="H80" s="161"/>
    </row>
    <row r="81" spans="2:8" x14ac:dyDescent="0.25">
      <c r="B81" s="143" t="s">
        <v>692</v>
      </c>
      <c r="C81" s="157" t="s">
        <v>1154</v>
      </c>
      <c r="D81" s="144" t="s">
        <v>1109</v>
      </c>
      <c r="E81" s="158">
        <v>2406.66</v>
      </c>
      <c r="F81" s="159">
        <v>2480.85</v>
      </c>
      <c r="G81" s="160">
        <v>209.01174869999997</v>
      </c>
      <c r="H81" s="161"/>
    </row>
    <row r="82" spans="2:8" x14ac:dyDescent="0.25">
      <c r="B82" s="143" t="s">
        <v>692</v>
      </c>
      <c r="C82" s="157" t="s">
        <v>1126</v>
      </c>
      <c r="D82" s="144" t="s">
        <v>1109</v>
      </c>
      <c r="E82" s="158">
        <v>1252.56</v>
      </c>
      <c r="F82" s="159">
        <v>1257.45</v>
      </c>
      <c r="G82" s="160">
        <v>161.83495119999998</v>
      </c>
      <c r="H82" s="161"/>
    </row>
    <row r="83" spans="2:8" x14ac:dyDescent="0.25">
      <c r="B83" s="143" t="s">
        <v>692</v>
      </c>
      <c r="C83" s="157" t="s">
        <v>1155</v>
      </c>
      <c r="D83" s="144" t="s">
        <v>1109</v>
      </c>
      <c r="E83" s="158">
        <v>346.7</v>
      </c>
      <c r="F83" s="159">
        <v>348.7</v>
      </c>
      <c r="G83" s="160">
        <v>2.8636330000000001</v>
      </c>
      <c r="H83" s="161"/>
    </row>
    <row r="84" spans="2:8" x14ac:dyDescent="0.25">
      <c r="B84" s="143" t="s">
        <v>692</v>
      </c>
      <c r="C84" s="157" t="s">
        <v>1130</v>
      </c>
      <c r="D84" s="144" t="s">
        <v>1109</v>
      </c>
      <c r="E84" s="158">
        <v>936.85</v>
      </c>
      <c r="F84" s="159">
        <v>998</v>
      </c>
      <c r="G84" s="160">
        <v>433.02710000000002</v>
      </c>
      <c r="H84" s="161"/>
    </row>
    <row r="85" spans="2:8" x14ac:dyDescent="0.25">
      <c r="B85" s="143" t="s">
        <v>692</v>
      </c>
      <c r="C85" s="157" t="s">
        <v>1147</v>
      </c>
      <c r="D85" s="144" t="s">
        <v>1109</v>
      </c>
      <c r="E85" s="158">
        <v>1851.8</v>
      </c>
      <c r="F85" s="159">
        <v>1888.1</v>
      </c>
      <c r="G85" s="160">
        <v>741.91194399999995</v>
      </c>
      <c r="H85" s="161"/>
    </row>
    <row r="86" spans="2:8" x14ac:dyDescent="0.25">
      <c r="B86" s="143" t="s">
        <v>692</v>
      </c>
      <c r="C86" s="157" t="s">
        <v>1156</v>
      </c>
      <c r="D86" s="144" t="s">
        <v>1109</v>
      </c>
      <c r="E86" s="158">
        <v>4231.2</v>
      </c>
      <c r="F86" s="159">
        <v>4334.45</v>
      </c>
      <c r="G86" s="160">
        <v>131.58900300000002</v>
      </c>
      <c r="H86" s="161"/>
    </row>
    <row r="87" spans="2:8" x14ac:dyDescent="0.25">
      <c r="B87" s="143" t="s">
        <v>692</v>
      </c>
      <c r="C87" s="157" t="s">
        <v>1131</v>
      </c>
      <c r="D87" s="144" t="s">
        <v>1109</v>
      </c>
      <c r="E87" s="158">
        <v>431.08</v>
      </c>
      <c r="F87" s="159">
        <v>444.1</v>
      </c>
      <c r="G87" s="160">
        <v>254.78277600000001</v>
      </c>
      <c r="H87" s="161"/>
    </row>
    <row r="88" spans="2:8" x14ac:dyDescent="0.25">
      <c r="B88" s="143" t="s">
        <v>692</v>
      </c>
      <c r="C88" s="157" t="s">
        <v>1157</v>
      </c>
      <c r="D88" s="144" t="s">
        <v>1109</v>
      </c>
      <c r="E88" s="158">
        <v>918.01</v>
      </c>
      <c r="F88" s="159">
        <v>949.9</v>
      </c>
      <c r="G88" s="160">
        <v>106.42246660000001</v>
      </c>
      <c r="H88" s="161"/>
    </row>
    <row r="89" spans="2:8" x14ac:dyDescent="0.25">
      <c r="B89" s="143" t="s">
        <v>692</v>
      </c>
      <c r="C89" s="157" t="s">
        <v>1132</v>
      </c>
      <c r="D89" s="144" t="s">
        <v>1109</v>
      </c>
      <c r="E89" s="158">
        <v>1896.28</v>
      </c>
      <c r="F89" s="159">
        <v>1911.15</v>
      </c>
      <c r="G89" s="160">
        <v>396.85325399999999</v>
      </c>
      <c r="H89" s="161"/>
    </row>
    <row r="90" spans="2:8" x14ac:dyDescent="0.25">
      <c r="B90" s="143" t="s">
        <v>692</v>
      </c>
      <c r="C90" s="157" t="s">
        <v>1133</v>
      </c>
      <c r="D90" s="144" t="s">
        <v>1109</v>
      </c>
      <c r="E90" s="158">
        <v>3451.03</v>
      </c>
      <c r="F90" s="159">
        <v>3579.25</v>
      </c>
      <c r="G90" s="160">
        <v>273.43169280000001</v>
      </c>
      <c r="H90" s="161"/>
    </row>
    <row r="91" spans="2:8" x14ac:dyDescent="0.25">
      <c r="B91" s="143" t="s">
        <v>692</v>
      </c>
      <c r="C91" s="157" t="s">
        <v>1158</v>
      </c>
      <c r="D91" s="144" t="s">
        <v>1109</v>
      </c>
      <c r="E91" s="158">
        <v>2060.15</v>
      </c>
      <c r="F91" s="159">
        <v>2088.6</v>
      </c>
      <c r="G91" s="160">
        <v>28.254587399999998</v>
      </c>
      <c r="H91" s="161"/>
    </row>
    <row r="92" spans="2:8" x14ac:dyDescent="0.25">
      <c r="B92" s="143" t="s">
        <v>692</v>
      </c>
      <c r="C92" s="157" t="s">
        <v>1134</v>
      </c>
      <c r="D92" s="144" t="s">
        <v>1109</v>
      </c>
      <c r="E92" s="158">
        <v>2824.44</v>
      </c>
      <c r="F92" s="159">
        <v>3007.35</v>
      </c>
      <c r="G92" s="160">
        <v>609.20663960000002</v>
      </c>
      <c r="H92" s="161"/>
    </row>
    <row r="93" spans="2:8" x14ac:dyDescent="0.25">
      <c r="B93" s="143" t="s">
        <v>692</v>
      </c>
      <c r="C93" s="157" t="s">
        <v>1159</v>
      </c>
      <c r="D93" s="144" t="s">
        <v>1109</v>
      </c>
      <c r="E93" s="158">
        <v>12034.08</v>
      </c>
      <c r="F93" s="159">
        <v>12326.85</v>
      </c>
      <c r="G93" s="160">
        <v>224.88605940000002</v>
      </c>
      <c r="H93" s="161"/>
    </row>
    <row r="94" spans="2:8" x14ac:dyDescent="0.25">
      <c r="B94" s="143" t="s">
        <v>692</v>
      </c>
      <c r="C94" s="157" t="s">
        <v>1135</v>
      </c>
      <c r="D94" s="144" t="s">
        <v>1109</v>
      </c>
      <c r="E94" s="158">
        <v>317.58</v>
      </c>
      <c r="F94" s="159">
        <v>325.45</v>
      </c>
      <c r="G94" s="160">
        <v>111.2246947</v>
      </c>
      <c r="H94" s="161"/>
    </row>
    <row r="95" spans="2:8" x14ac:dyDescent="0.25">
      <c r="B95" s="143" t="s">
        <v>692</v>
      </c>
      <c r="C95" s="157" t="s">
        <v>1137</v>
      </c>
      <c r="D95" s="144" t="s">
        <v>1109</v>
      </c>
      <c r="E95" s="158">
        <v>1235.05</v>
      </c>
      <c r="F95" s="159">
        <v>1270.05</v>
      </c>
      <c r="G95" s="160">
        <v>1368.2772772000001</v>
      </c>
      <c r="H95" s="161"/>
    </row>
    <row r="96" spans="2:8" x14ac:dyDescent="0.25">
      <c r="B96" s="143" t="s">
        <v>692</v>
      </c>
      <c r="C96" s="157" t="s">
        <v>1138</v>
      </c>
      <c r="D96" s="144" t="s">
        <v>1109</v>
      </c>
      <c r="E96" s="158">
        <v>1435.68</v>
      </c>
      <c r="F96" s="159">
        <v>1488.5</v>
      </c>
      <c r="G96" s="160">
        <v>41.458330199999999</v>
      </c>
      <c r="H96" s="161"/>
    </row>
    <row r="97" spans="2:8" x14ac:dyDescent="0.25">
      <c r="B97" s="143" t="s">
        <v>692</v>
      </c>
      <c r="C97" s="157" t="s">
        <v>1140</v>
      </c>
      <c r="D97" s="144" t="s">
        <v>1109</v>
      </c>
      <c r="E97" s="158">
        <v>1708.79</v>
      </c>
      <c r="F97" s="159">
        <v>1744.75</v>
      </c>
      <c r="G97" s="160">
        <v>40.047390300000004</v>
      </c>
      <c r="H97" s="161"/>
    </row>
    <row r="98" spans="2:8" x14ac:dyDescent="0.25">
      <c r="B98" s="143" t="s">
        <v>692</v>
      </c>
      <c r="C98" s="157" t="s">
        <v>1142</v>
      </c>
      <c r="D98" s="144" t="s">
        <v>1109</v>
      </c>
      <c r="E98" s="158">
        <v>719.55</v>
      </c>
      <c r="F98" s="159">
        <v>719.3</v>
      </c>
      <c r="G98" s="160">
        <v>39.208264999999997</v>
      </c>
      <c r="H98" s="161"/>
    </row>
    <row r="99" spans="2:8" x14ac:dyDescent="0.25">
      <c r="B99" s="143" t="s">
        <v>692</v>
      </c>
      <c r="C99" s="157" t="s">
        <v>1145</v>
      </c>
      <c r="D99" s="144" t="s">
        <v>1109</v>
      </c>
      <c r="E99" s="158">
        <v>3332.15</v>
      </c>
      <c r="F99" s="159">
        <v>3508</v>
      </c>
      <c r="G99" s="160">
        <v>1.0840725</v>
      </c>
      <c r="H99" s="161"/>
    </row>
    <row r="100" spans="2:8" x14ac:dyDescent="0.25">
      <c r="B100" s="143" t="s">
        <v>692</v>
      </c>
      <c r="C100" s="157" t="s">
        <v>1160</v>
      </c>
      <c r="D100" s="144" t="s">
        <v>1109</v>
      </c>
      <c r="E100" s="158">
        <v>2237.84</v>
      </c>
      <c r="F100" s="159">
        <v>2465.3000000000002</v>
      </c>
      <c r="G100" s="160">
        <v>133.07339049999999</v>
      </c>
      <c r="H100" s="161"/>
    </row>
    <row r="101" spans="2:8" x14ac:dyDescent="0.25">
      <c r="B101" s="143" t="s">
        <v>692</v>
      </c>
      <c r="C101" s="157" t="s">
        <v>1161</v>
      </c>
      <c r="D101" s="144" t="s">
        <v>1109</v>
      </c>
      <c r="E101" s="158">
        <v>1445.58</v>
      </c>
      <c r="F101" s="159">
        <v>1431.45</v>
      </c>
      <c r="G101" s="160">
        <v>46.000635199999998</v>
      </c>
      <c r="H101" s="161"/>
    </row>
    <row r="102" spans="2:8" x14ac:dyDescent="0.25">
      <c r="B102" s="143" t="s">
        <v>692</v>
      </c>
      <c r="C102" s="157" t="s">
        <v>1162</v>
      </c>
      <c r="D102" s="144" t="s">
        <v>1109</v>
      </c>
      <c r="E102" s="158">
        <v>1476.17</v>
      </c>
      <c r="F102" s="159">
        <v>1267.75</v>
      </c>
      <c r="G102" s="160">
        <v>7.5611142000000005</v>
      </c>
      <c r="H102" s="161"/>
    </row>
    <row r="103" spans="2:8" x14ac:dyDescent="0.25">
      <c r="B103" s="143"/>
      <c r="C103" s="157"/>
      <c r="D103" s="144"/>
      <c r="E103" s="158"/>
      <c r="F103" s="159"/>
      <c r="G103" s="160"/>
      <c r="H103" s="161"/>
    </row>
    <row r="104" spans="2:8" hidden="1" x14ac:dyDescent="0.25">
      <c r="B104" s="143" t="s">
        <v>1163</v>
      </c>
      <c r="C104" s="157"/>
      <c r="D104" s="144" t="s">
        <v>1109</v>
      </c>
      <c r="E104" s="158"/>
      <c r="F104" s="159"/>
      <c r="G104" s="162"/>
      <c r="H104" s="161"/>
    </row>
    <row r="105" spans="2:8" hidden="1" x14ac:dyDescent="0.25">
      <c r="B105" s="143"/>
      <c r="C105" s="157"/>
      <c r="D105" s="144"/>
      <c r="E105" s="158"/>
      <c r="F105" s="159"/>
      <c r="G105" s="162"/>
      <c r="H105" s="161"/>
    </row>
    <row r="106" spans="2:8" x14ac:dyDescent="0.25">
      <c r="B106" s="143" t="s">
        <v>840</v>
      </c>
      <c r="C106" s="157" t="s">
        <v>1110</v>
      </c>
      <c r="D106" s="144" t="s">
        <v>1109</v>
      </c>
      <c r="E106" s="158">
        <v>2437.67</v>
      </c>
      <c r="F106" s="163">
        <v>2302.25</v>
      </c>
      <c r="G106" s="164">
        <v>50.515504900000003</v>
      </c>
      <c r="H106" s="161"/>
    </row>
    <row r="107" spans="2:8" x14ac:dyDescent="0.25">
      <c r="B107" s="143" t="s">
        <v>840</v>
      </c>
      <c r="C107" s="157" t="s">
        <v>1114</v>
      </c>
      <c r="D107" s="144" t="s">
        <v>1109</v>
      </c>
      <c r="E107" s="158">
        <v>956.24</v>
      </c>
      <c r="F107" s="163">
        <v>990.45</v>
      </c>
      <c r="G107" s="164">
        <v>353.27265820000002</v>
      </c>
      <c r="H107" s="161"/>
    </row>
    <row r="108" spans="2:8" x14ac:dyDescent="0.25">
      <c r="B108" s="143" t="s">
        <v>840</v>
      </c>
      <c r="C108" s="157" t="s">
        <v>1164</v>
      </c>
      <c r="D108" s="144" t="s">
        <v>1109</v>
      </c>
      <c r="E108" s="158">
        <v>8591.2099999999991</v>
      </c>
      <c r="F108" s="163">
        <v>8898.75</v>
      </c>
      <c r="G108" s="164">
        <v>8.357455400000001</v>
      </c>
      <c r="H108" s="161"/>
    </row>
    <row r="109" spans="2:8" x14ac:dyDescent="0.25">
      <c r="B109" s="143" t="s">
        <v>840</v>
      </c>
      <c r="C109" s="157" t="s">
        <v>1119</v>
      </c>
      <c r="D109" s="144" t="s">
        <v>1109</v>
      </c>
      <c r="E109" s="158">
        <v>1618.12</v>
      </c>
      <c r="F109" s="163">
        <v>1633.65</v>
      </c>
      <c r="G109" s="164">
        <v>194.67267059999998</v>
      </c>
      <c r="H109" s="161"/>
    </row>
    <row r="110" spans="2:8" x14ac:dyDescent="0.25">
      <c r="B110" s="143" t="s">
        <v>840</v>
      </c>
      <c r="C110" s="157" t="s">
        <v>1121</v>
      </c>
      <c r="D110" s="144" t="s">
        <v>1109</v>
      </c>
      <c r="E110" s="158">
        <v>1453.55</v>
      </c>
      <c r="F110" s="163">
        <v>1486.45</v>
      </c>
      <c r="G110" s="164">
        <v>1.7066123999999998</v>
      </c>
      <c r="H110" s="161"/>
    </row>
    <row r="111" spans="2:8" x14ac:dyDescent="0.25">
      <c r="B111" s="143" t="s">
        <v>840</v>
      </c>
      <c r="C111" s="157" t="s">
        <v>1165</v>
      </c>
      <c r="D111" s="144" t="s">
        <v>1109</v>
      </c>
      <c r="E111" s="158">
        <v>5150.5600000000004</v>
      </c>
      <c r="F111" s="163">
        <v>5219</v>
      </c>
      <c r="G111" s="164">
        <v>20.972429399999999</v>
      </c>
      <c r="H111" s="161"/>
    </row>
    <row r="112" spans="2:8" x14ac:dyDescent="0.25">
      <c r="B112" s="143" t="s">
        <v>840</v>
      </c>
      <c r="C112" s="157" t="s">
        <v>1166</v>
      </c>
      <c r="D112" s="144" t="s">
        <v>1109</v>
      </c>
      <c r="E112" s="158">
        <v>3639.02</v>
      </c>
      <c r="F112" s="163">
        <v>3950.6</v>
      </c>
      <c r="G112" s="164">
        <v>211.29547500000001</v>
      </c>
      <c r="H112" s="161"/>
    </row>
    <row r="113" spans="2:8" x14ac:dyDescent="0.25">
      <c r="B113" s="143" t="s">
        <v>840</v>
      </c>
      <c r="C113" s="157" t="s">
        <v>1126</v>
      </c>
      <c r="D113" s="144" t="s">
        <v>1109</v>
      </c>
      <c r="E113" s="158">
        <v>1226.45</v>
      </c>
      <c r="F113" s="163">
        <v>1257.45</v>
      </c>
      <c r="G113" s="164">
        <v>113.59568689999999</v>
      </c>
      <c r="H113" s="161"/>
    </row>
    <row r="114" spans="2:8" x14ac:dyDescent="0.25">
      <c r="B114" s="143" t="s">
        <v>840</v>
      </c>
      <c r="C114" s="157" t="s">
        <v>1130</v>
      </c>
      <c r="D114" s="144" t="s">
        <v>1109</v>
      </c>
      <c r="E114" s="158">
        <v>936.21</v>
      </c>
      <c r="F114" s="163">
        <v>998</v>
      </c>
      <c r="G114" s="164">
        <v>271.41890000000001</v>
      </c>
      <c r="H114" s="161"/>
    </row>
    <row r="115" spans="2:8" x14ac:dyDescent="0.25">
      <c r="B115" s="143" t="s">
        <v>840</v>
      </c>
      <c r="C115" s="157" t="s">
        <v>1147</v>
      </c>
      <c r="D115" s="144" t="s">
        <v>1109</v>
      </c>
      <c r="E115" s="158">
        <v>1851.96</v>
      </c>
      <c r="F115" s="163">
        <v>1888.1</v>
      </c>
      <c r="G115" s="164">
        <v>556.43395799999996</v>
      </c>
      <c r="H115" s="161"/>
    </row>
    <row r="116" spans="2:8" x14ac:dyDescent="0.25">
      <c r="B116" s="143" t="s">
        <v>840</v>
      </c>
      <c r="C116" s="157" t="s">
        <v>1132</v>
      </c>
      <c r="D116" s="144" t="s">
        <v>1109</v>
      </c>
      <c r="E116" s="158">
        <v>1884.2</v>
      </c>
      <c r="F116" s="163">
        <v>1911.15</v>
      </c>
      <c r="G116" s="164">
        <v>164.68060200000002</v>
      </c>
      <c r="H116" s="161"/>
    </row>
    <row r="117" spans="2:8" x14ac:dyDescent="0.25">
      <c r="B117" s="143" t="s">
        <v>840</v>
      </c>
      <c r="C117" s="157" t="s">
        <v>1133</v>
      </c>
      <c r="D117" s="144" t="s">
        <v>1109</v>
      </c>
      <c r="E117" s="158">
        <v>3429.44</v>
      </c>
      <c r="F117" s="163">
        <v>3579.25</v>
      </c>
      <c r="G117" s="147">
        <v>214.5679256</v>
      </c>
      <c r="H117" s="161"/>
    </row>
    <row r="118" spans="2:8" x14ac:dyDescent="0.25">
      <c r="B118" s="143" t="s">
        <v>840</v>
      </c>
      <c r="C118" s="157" t="s">
        <v>1134</v>
      </c>
      <c r="D118" s="144" t="s">
        <v>1109</v>
      </c>
      <c r="E118" s="158">
        <v>2795.18</v>
      </c>
      <c r="F118" s="163">
        <v>3007.35</v>
      </c>
      <c r="G118" s="147">
        <v>1120.6142199999999</v>
      </c>
      <c r="H118" s="161"/>
    </row>
    <row r="119" spans="2:8" x14ac:dyDescent="0.25">
      <c r="B119" s="143" t="s">
        <v>840</v>
      </c>
      <c r="C119" s="157" t="s">
        <v>1136</v>
      </c>
      <c r="D119" s="144" t="s">
        <v>1109</v>
      </c>
      <c r="E119" s="158">
        <v>101.83</v>
      </c>
      <c r="F119" s="163">
        <v>101.83</v>
      </c>
      <c r="G119" s="147">
        <v>35.908556000000004</v>
      </c>
      <c r="H119" s="161"/>
    </row>
    <row r="120" spans="2:8" x14ac:dyDescent="0.25">
      <c r="B120" s="143" t="s">
        <v>840</v>
      </c>
      <c r="C120" s="157" t="s">
        <v>1137</v>
      </c>
      <c r="D120" s="144" t="s">
        <v>1109</v>
      </c>
      <c r="E120" s="158">
        <v>1226.3399999999999</v>
      </c>
      <c r="F120" s="163">
        <v>1270.05</v>
      </c>
      <c r="G120" s="147">
        <v>53.878022399999999</v>
      </c>
      <c r="H120" s="161"/>
    </row>
    <row r="121" spans="2:8" x14ac:dyDescent="0.25">
      <c r="B121" s="143" t="s">
        <v>840</v>
      </c>
      <c r="C121" s="157" t="s">
        <v>1160</v>
      </c>
      <c r="D121" s="144" t="s">
        <v>1109</v>
      </c>
      <c r="E121" s="158">
        <v>2254.1</v>
      </c>
      <c r="F121" s="163">
        <v>2465.3000000000002</v>
      </c>
      <c r="G121" s="147">
        <v>299.0237363</v>
      </c>
      <c r="H121" s="161"/>
    </row>
    <row r="122" spans="2:8" x14ac:dyDescent="0.25">
      <c r="B122" s="143"/>
      <c r="C122" s="157"/>
      <c r="D122" s="144"/>
      <c r="E122" s="158"/>
      <c r="F122" s="163"/>
      <c r="G122" s="147"/>
      <c r="H122" s="161"/>
    </row>
    <row r="123" spans="2:8" hidden="1" x14ac:dyDescent="0.25">
      <c r="B123" s="143"/>
      <c r="C123" s="157"/>
      <c r="D123" s="144" t="s">
        <v>1109</v>
      </c>
      <c r="E123" s="158"/>
      <c r="F123" s="163"/>
      <c r="G123" s="147"/>
      <c r="H123" s="161"/>
    </row>
    <row r="124" spans="2:8" hidden="1" x14ac:dyDescent="0.25">
      <c r="B124" s="143"/>
      <c r="C124" s="157"/>
      <c r="D124" s="144"/>
      <c r="E124" s="158"/>
      <c r="F124" s="163"/>
      <c r="G124" s="147"/>
      <c r="H124" s="161"/>
    </row>
    <row r="126" spans="2:8" x14ac:dyDescent="0.25">
      <c r="B126" s="140" t="s">
        <v>1167</v>
      </c>
      <c r="E126" s="165"/>
      <c r="F126" s="165"/>
      <c r="G126" s="165"/>
    </row>
    <row r="128" spans="2:8" x14ac:dyDescent="0.25">
      <c r="B128" s="166" t="s">
        <v>1102</v>
      </c>
      <c r="C128" s="166" t="s">
        <v>1168</v>
      </c>
    </row>
    <row r="129" spans="2:12" x14ac:dyDescent="0.25">
      <c r="B129" s="143" t="s">
        <v>636</v>
      </c>
      <c r="C129" s="167">
        <v>72.83</v>
      </c>
    </row>
    <row r="130" spans="2:12" x14ac:dyDescent="0.25">
      <c r="B130" s="143" t="s">
        <v>664</v>
      </c>
      <c r="C130" s="167">
        <v>14.78</v>
      </c>
    </row>
    <row r="131" spans="2:12" x14ac:dyDescent="0.25">
      <c r="B131" s="168" t="s">
        <v>692</v>
      </c>
      <c r="C131" s="167">
        <v>41.62</v>
      </c>
    </row>
    <row r="132" spans="2:12" x14ac:dyDescent="0.25">
      <c r="B132" s="143" t="s">
        <v>840</v>
      </c>
      <c r="C132" s="167">
        <v>7.94</v>
      </c>
    </row>
    <row r="134" spans="2:12" x14ac:dyDescent="0.25">
      <c r="B134" s="140" t="s">
        <v>1169</v>
      </c>
    </row>
    <row r="135" spans="2:12" x14ac:dyDescent="0.25">
      <c r="B135" s="140"/>
    </row>
    <row r="136" spans="2:12" ht="67.5" x14ac:dyDescent="0.25">
      <c r="B136" s="141" t="s">
        <v>1102</v>
      </c>
      <c r="C136" s="142" t="s">
        <v>1170</v>
      </c>
      <c r="D136" s="142" t="s">
        <v>1171</v>
      </c>
      <c r="E136" s="142" t="s">
        <v>1172</v>
      </c>
      <c r="F136" s="142" t="s">
        <v>1173</v>
      </c>
      <c r="G136" s="142" t="s">
        <v>1174</v>
      </c>
    </row>
    <row r="137" spans="2:12" x14ac:dyDescent="0.25">
      <c r="B137" s="143" t="s">
        <v>636</v>
      </c>
      <c r="C137" s="169">
        <f>912+1103+1186+1219+1218+1462+1350+2335+2597+2506</f>
        <v>15888</v>
      </c>
      <c r="D137" s="169">
        <f>912+828+1186+1219+1218+1462+1350+2162+2597+2506</f>
        <v>15440</v>
      </c>
      <c r="E137" s="170">
        <f>8477.8731052+7835.06+8411.01+9148.21+9403.79+11559.27+9806.9+15486.63+17320+15504.71</f>
        <v>112953.45310519999</v>
      </c>
      <c r="F137" s="170">
        <f>8115.8591468+7688.55+8255.85+8867.82+9318.69+11399.08+10742.67+16006.05+17255.44+16064.86</f>
        <v>113714.8691468</v>
      </c>
      <c r="G137" s="171">
        <f>+F137-E137-1.24-17.94</f>
        <v>742.23604160000855</v>
      </c>
      <c r="H137" s="172"/>
      <c r="I137" s="173"/>
      <c r="J137" s="174"/>
      <c r="K137" s="174"/>
      <c r="L137" s="174"/>
    </row>
    <row r="138" spans="2:12" x14ac:dyDescent="0.25">
      <c r="B138" s="143" t="s">
        <v>1</v>
      </c>
      <c r="C138" s="169">
        <v>60</v>
      </c>
      <c r="D138" s="169">
        <v>60</v>
      </c>
      <c r="E138" s="170">
        <v>316.01162249999999</v>
      </c>
      <c r="F138" s="170">
        <v>395.40894750000001</v>
      </c>
      <c r="G138" s="171">
        <f>+F138-E138</f>
        <v>79.397325000000023</v>
      </c>
      <c r="H138" s="172"/>
      <c r="I138" s="173"/>
      <c r="J138" s="174"/>
      <c r="K138" s="174"/>
      <c r="L138" s="174"/>
    </row>
    <row r="139" spans="2:12" x14ac:dyDescent="0.25">
      <c r="B139" s="168" t="s">
        <v>185</v>
      </c>
      <c r="C139" s="169">
        <v>225</v>
      </c>
      <c r="D139" s="169">
        <v>225</v>
      </c>
      <c r="E139" s="170">
        <v>1405.32</v>
      </c>
      <c r="F139" s="170">
        <v>1468.82</v>
      </c>
      <c r="G139" s="171">
        <f t="shared" ref="G139:G149" si="0">+F139-E139</f>
        <v>63.5</v>
      </c>
      <c r="H139" s="172"/>
      <c r="I139" s="173"/>
      <c r="J139" s="174"/>
      <c r="K139" s="174"/>
      <c r="L139" s="174"/>
    </row>
    <row r="140" spans="2:12" x14ac:dyDescent="0.25">
      <c r="B140" s="143" t="s">
        <v>664</v>
      </c>
      <c r="C140" s="175">
        <f>3245+3155+2924+2541+3243+3074+2652+3416+50+3752+3982</f>
        <v>32034</v>
      </c>
      <c r="D140" s="175">
        <f>3245+2998+2924+2541+3243+3074+2652+3007+50+3752+3982</f>
        <v>31468</v>
      </c>
      <c r="E140" s="176">
        <f>23251.216376+23062.4+21744.09+19598.03+24956+25024.07+19740.66+22713.64+281.04+23220.42+24259.8</f>
        <v>227851.36637599999</v>
      </c>
      <c r="F140" s="176">
        <f>23019.2019576+23214.46+21076.82+20110.06+24675.94+24242.68+21382.06+22873.75+279.05+23622.32+24996.18</f>
        <v>229492.52195759997</v>
      </c>
      <c r="G140" s="171">
        <f>+F140-E140-132.42-16.96</f>
        <v>1491.7755815999744</v>
      </c>
      <c r="H140" s="172"/>
      <c r="I140" s="173"/>
      <c r="J140" s="174"/>
      <c r="K140" s="174"/>
      <c r="L140" s="174"/>
    </row>
    <row r="141" spans="2:12" x14ac:dyDescent="0.25">
      <c r="B141" s="143" t="s">
        <v>825</v>
      </c>
      <c r="C141" s="177">
        <f>201</f>
        <v>201</v>
      </c>
      <c r="D141" s="177">
        <f>201+1538</f>
        <v>1739</v>
      </c>
      <c r="E141" s="178">
        <v>1072.8</v>
      </c>
      <c r="F141" s="178">
        <v>1079.4000000000001</v>
      </c>
      <c r="G141" s="179">
        <f>+F141-E141</f>
        <v>6.6000000000001364</v>
      </c>
      <c r="H141" s="172"/>
      <c r="I141" s="173"/>
      <c r="J141" s="174"/>
      <c r="K141" s="174"/>
      <c r="L141" s="174"/>
    </row>
    <row r="142" spans="2:12" x14ac:dyDescent="0.25">
      <c r="B142" s="168" t="s">
        <v>692</v>
      </c>
      <c r="C142" s="169">
        <f>3089+4164+4870+4542+4513+3956+4505+4456+4749+6134</f>
        <v>44978</v>
      </c>
      <c r="D142" s="169">
        <f>3089+3947+4908+4542+4513+3956+4505+4251+4749+6134</f>
        <v>44594</v>
      </c>
      <c r="E142" s="170">
        <f>24138.034131+30739.91+37416.97+33839.96+34390.31+30767.02+32773.97+30029.17+31607.48+38093.56</f>
        <v>323796.38413099997</v>
      </c>
      <c r="F142" s="170">
        <f>24403.3776278+29771.72+36515.77+33211.34+33851.65+30024.32+35592.92+30727.62+31743.61+40396.94</f>
        <v>326239.2676278</v>
      </c>
      <c r="G142" s="171">
        <f>+F142-E142-48.32-25.39-12.88</f>
        <v>2356.29349680003</v>
      </c>
      <c r="H142" s="172"/>
      <c r="I142" s="173"/>
      <c r="J142" s="174"/>
      <c r="K142" s="174"/>
      <c r="L142" s="174"/>
    </row>
    <row r="143" spans="2:12" x14ac:dyDescent="0.25">
      <c r="B143" s="143" t="s">
        <v>840</v>
      </c>
      <c r="C143" s="169">
        <f>4959+5302+4294+476+1880+274+2236+2373+2281+3108+2683+2907</f>
        <v>32773</v>
      </c>
      <c r="D143" s="169">
        <f>4959+4664+4294+476+1880+274+2236+2373+2281+2228+2683+2907</f>
        <v>31255</v>
      </c>
      <c r="E143" s="170">
        <f>40992.0946058+39677.53+34589.48+4020.61+16080.28+2010+19023.11+20375.96+17738.6+18427.3+16649.17+17018.11</f>
        <v>246602.24460579996</v>
      </c>
      <c r="F143" s="170">
        <f>39810.9031062+37471.77+33066.64+3901.15+16290.6+1963.48+18272.45+19889.24+19366.51+17574.16+17014.86+18283.59</f>
        <v>242905.35310620003</v>
      </c>
      <c r="G143" s="171">
        <f>+F143-E143-33.85</f>
        <v>-3730.7414995999366</v>
      </c>
      <c r="H143" s="172"/>
      <c r="I143" s="173"/>
      <c r="J143" s="174"/>
      <c r="K143" s="174"/>
      <c r="L143" s="174"/>
    </row>
    <row r="144" spans="2:12" x14ac:dyDescent="0.25">
      <c r="B144" s="143" t="s">
        <v>523</v>
      </c>
      <c r="C144" s="175">
        <f>483+890+804+1436+500+341+225+75+100+250</f>
        <v>5104</v>
      </c>
      <c r="D144" s="175">
        <f>483+890+804+1436+500+341+225+75+100+250</f>
        <v>5104</v>
      </c>
      <c r="E144" s="176">
        <f>4091.83035+6117.58+5527.23+9588.2+4330.44+2769.25+1317.57+476.55+407.44+2057.48</f>
        <v>36683.570350000009</v>
      </c>
      <c r="F144" s="176">
        <f>4034.4795033+6049.53+5215.07+9786.63+3840.54+2682.77+1281.41+505.49+398+2017.13</f>
        <v>35811.049503299997</v>
      </c>
      <c r="G144" s="171">
        <f>+F144-E144-5.43</f>
        <v>-877.95084670001199</v>
      </c>
      <c r="H144" s="172"/>
      <c r="I144" s="173"/>
      <c r="J144" s="174"/>
      <c r="K144" s="174"/>
      <c r="L144" s="174"/>
    </row>
    <row r="145" spans="2:12" x14ac:dyDescent="0.25">
      <c r="B145" s="143" t="s">
        <v>1175</v>
      </c>
      <c r="C145" s="175">
        <f>670+236+100</f>
        <v>1006</v>
      </c>
      <c r="D145" s="175">
        <f>670+236+100</f>
        <v>1006</v>
      </c>
      <c r="E145" s="180">
        <f>5121.43109+1440.32+1000.37</f>
        <v>7562.1210899999996</v>
      </c>
      <c r="F145" s="176">
        <f>4914.70434+1452.01+888.54</f>
        <v>7255.2543400000004</v>
      </c>
      <c r="G145" s="171">
        <f t="shared" si="0"/>
        <v>-306.86674999999923</v>
      </c>
      <c r="H145" s="172"/>
      <c r="I145" s="173"/>
      <c r="J145" s="174"/>
      <c r="K145" s="174"/>
      <c r="L145" s="174"/>
    </row>
    <row r="146" spans="2:12" x14ac:dyDescent="0.25">
      <c r="B146" s="143" t="s">
        <v>1176</v>
      </c>
      <c r="C146" s="175">
        <f>718+1240+625+44+1538+300+750</f>
        <v>5215</v>
      </c>
      <c r="D146" s="175">
        <f>718+1240+625+44+1538+300+750</f>
        <v>5215</v>
      </c>
      <c r="E146" s="180">
        <f>3497.925475+10412.86+4374.88+384.03+12319.56+2099.48+5446.22</f>
        <v>38534.955475000002</v>
      </c>
      <c r="F146" s="176">
        <f>3490.3374814+9799.72+4402.45+366.83+12422.16+2152.36+5293.93</f>
        <v>37927.787481400002</v>
      </c>
      <c r="G146" s="171">
        <f t="shared" si="0"/>
        <v>-607.16799360000005</v>
      </c>
      <c r="H146" s="172"/>
      <c r="I146" s="173"/>
      <c r="J146" s="174"/>
      <c r="K146" s="174"/>
      <c r="L146" s="174"/>
    </row>
    <row r="147" spans="2:12" x14ac:dyDescent="0.25">
      <c r="B147" s="143" t="s">
        <v>1163</v>
      </c>
      <c r="C147" s="175">
        <f>360+212+157</f>
        <v>729</v>
      </c>
      <c r="D147" s="175">
        <f>360+212+157</f>
        <v>729</v>
      </c>
      <c r="E147" s="180">
        <f>2769.5745981+1118.94+958.18</f>
        <v>4846.6945980999999</v>
      </c>
      <c r="F147" s="176">
        <f>2703.31126+1223.67+965.96</f>
        <v>4892.9412599999996</v>
      </c>
      <c r="G147" s="171">
        <f t="shared" si="0"/>
        <v>46.246661899999708</v>
      </c>
      <c r="H147" s="172"/>
      <c r="I147" s="173"/>
      <c r="J147" s="174"/>
    </row>
    <row r="148" spans="2:12" x14ac:dyDescent="0.25">
      <c r="B148" s="143" t="s">
        <v>675</v>
      </c>
      <c r="C148" s="175">
        <v>75</v>
      </c>
      <c r="D148" s="175">
        <v>75</v>
      </c>
      <c r="E148" s="180">
        <v>344.05</v>
      </c>
      <c r="F148" s="176">
        <v>402.44</v>
      </c>
      <c r="G148" s="171">
        <f t="shared" si="0"/>
        <v>58.389999999999986</v>
      </c>
      <c r="H148" s="172"/>
      <c r="I148" s="173"/>
      <c r="J148" s="174"/>
    </row>
    <row r="149" spans="2:12" x14ac:dyDescent="0.25">
      <c r="B149" s="143" t="s">
        <v>818</v>
      </c>
      <c r="C149" s="177">
        <f>620+250+236+520</f>
        <v>1626</v>
      </c>
      <c r="D149" s="177">
        <f>620+250+236+520</f>
        <v>1626</v>
      </c>
      <c r="E149" s="178">
        <f>4655.3843317+1319.5+1440.32+3325.87</f>
        <v>10741.0743317</v>
      </c>
      <c r="F149" s="178">
        <f>4447.862887+1443.89+1452.17+3215.55</f>
        <v>10559.472887</v>
      </c>
      <c r="G149" s="171">
        <f t="shared" si="0"/>
        <v>-181.60144469999977</v>
      </c>
      <c r="H149" s="172"/>
      <c r="I149" s="173"/>
      <c r="J149" s="174"/>
    </row>
    <row r="150" spans="2:12" x14ac:dyDescent="0.25">
      <c r="H150" s="172"/>
      <c r="I150" s="173"/>
      <c r="J150" s="174"/>
    </row>
    <row r="151" spans="2:12" x14ac:dyDescent="0.25">
      <c r="E151" s="174"/>
      <c r="F151" s="174"/>
      <c r="H151" s="172"/>
      <c r="I151" s="173"/>
      <c r="L151" s="172"/>
    </row>
    <row r="152" spans="2:12" x14ac:dyDescent="0.25">
      <c r="B152" s="140" t="s">
        <v>1177</v>
      </c>
      <c r="F152" s="174"/>
      <c r="G152" s="173"/>
      <c r="H152" s="181"/>
      <c r="L152" s="173"/>
    </row>
    <row r="154" spans="2:12" ht="27" x14ac:dyDescent="0.25">
      <c r="B154" s="141" t="s">
        <v>1102</v>
      </c>
      <c r="C154" s="141" t="s">
        <v>1103</v>
      </c>
      <c r="D154" s="141" t="s">
        <v>1104</v>
      </c>
      <c r="E154" s="142" t="s">
        <v>1105</v>
      </c>
      <c r="F154" s="142" t="s">
        <v>1106</v>
      </c>
      <c r="G154" s="142" t="s">
        <v>1178</v>
      </c>
    </row>
    <row r="155" spans="2:12" hidden="1" x14ac:dyDescent="0.25">
      <c r="B155" s="144" t="s">
        <v>674</v>
      </c>
      <c r="C155" s="144" t="s">
        <v>674</v>
      </c>
      <c r="D155" s="144" t="s">
        <v>1179</v>
      </c>
      <c r="E155" s="144" t="s">
        <v>674</v>
      </c>
      <c r="F155" s="144" t="s">
        <v>674</v>
      </c>
      <c r="G155" s="144" t="s">
        <v>674</v>
      </c>
    </row>
    <row r="156" spans="2:12" hidden="1" x14ac:dyDescent="0.25">
      <c r="B156" s="143"/>
      <c r="C156" s="157"/>
      <c r="D156" s="144" t="s">
        <v>1179</v>
      </c>
      <c r="E156" s="158"/>
      <c r="F156" s="163"/>
      <c r="G156" s="147"/>
    </row>
    <row r="157" spans="2:12" hidden="1" x14ac:dyDescent="0.25">
      <c r="B157" s="143"/>
      <c r="C157" s="157"/>
      <c r="D157" s="144" t="s">
        <v>1179</v>
      </c>
      <c r="E157" s="158"/>
      <c r="F157" s="163"/>
      <c r="G157" s="147"/>
    </row>
    <row r="158" spans="2:12" hidden="1" x14ac:dyDescent="0.25">
      <c r="B158" s="143"/>
      <c r="C158" s="157"/>
      <c r="D158" s="144" t="s">
        <v>1179</v>
      </c>
      <c r="E158" s="158"/>
      <c r="F158" s="163"/>
      <c r="G158" s="147"/>
    </row>
    <row r="159" spans="2:12" x14ac:dyDescent="0.25">
      <c r="B159" s="143" t="str">
        <f>+B145</f>
        <v>Sundaram Small cap Fund</v>
      </c>
      <c r="C159" s="157" t="s">
        <v>1180</v>
      </c>
      <c r="D159" s="144" t="s">
        <v>1179</v>
      </c>
      <c r="E159" s="158">
        <v>2162.83</v>
      </c>
      <c r="F159" s="163">
        <v>2240.65</v>
      </c>
      <c r="G159" s="147">
        <v>176.1374965</v>
      </c>
    </row>
    <row r="160" spans="2:12" x14ac:dyDescent="0.25">
      <c r="B160" s="143" t="s">
        <v>1175</v>
      </c>
      <c r="C160" s="157" t="s">
        <v>1181</v>
      </c>
      <c r="D160" s="144" t="s">
        <v>1179</v>
      </c>
      <c r="E160" s="158">
        <v>3947.31</v>
      </c>
      <c r="F160" s="163">
        <v>4035.25</v>
      </c>
      <c r="G160" s="147">
        <v>2.5422072000000004</v>
      </c>
    </row>
    <row r="161" spans="2:12" x14ac:dyDescent="0.25">
      <c r="B161" s="143" t="str">
        <f>+B149</f>
        <v>Sundaram Services Fund</v>
      </c>
      <c r="C161" s="157" t="s">
        <v>1182</v>
      </c>
      <c r="D161" s="144" t="s">
        <v>1179</v>
      </c>
      <c r="E161" s="158">
        <v>2180.37</v>
      </c>
      <c r="F161" s="163">
        <v>2240.65</v>
      </c>
      <c r="G161" s="147">
        <v>175.03957800000001</v>
      </c>
    </row>
    <row r="162" spans="2:12" x14ac:dyDescent="0.25">
      <c r="B162" s="143" t="s">
        <v>818</v>
      </c>
      <c r="C162" s="157" t="s">
        <v>1183</v>
      </c>
      <c r="D162" s="144" t="s">
        <v>1179</v>
      </c>
      <c r="E162" s="158">
        <v>315.20999999999998</v>
      </c>
      <c r="F162" s="163">
        <v>322.45</v>
      </c>
      <c r="G162" s="147">
        <v>19.6202778</v>
      </c>
    </row>
    <row r="163" spans="2:12" x14ac:dyDescent="0.25">
      <c r="B163" s="143" t="s">
        <v>826</v>
      </c>
      <c r="C163" s="157" t="s">
        <v>1184</v>
      </c>
      <c r="D163" s="144" t="s">
        <v>1179</v>
      </c>
      <c r="E163" s="158">
        <v>163.38</v>
      </c>
      <c r="F163" s="163">
        <v>168.01</v>
      </c>
      <c r="G163" s="147">
        <v>69.214649699999995</v>
      </c>
    </row>
    <row r="164" spans="2:12" x14ac:dyDescent="0.25">
      <c r="B164" s="143" t="str">
        <f>+B147</f>
        <v>Sundaram Financial Opp Fund</v>
      </c>
      <c r="C164" s="157" t="s">
        <v>1180</v>
      </c>
      <c r="D164" s="144" t="s">
        <v>1179</v>
      </c>
      <c r="E164" s="158">
        <v>2213.84</v>
      </c>
      <c r="F164" s="163">
        <v>2240.65</v>
      </c>
      <c r="G164" s="147">
        <v>47.524186499999992</v>
      </c>
    </row>
    <row r="165" spans="2:12" x14ac:dyDescent="0.25">
      <c r="C165" s="182"/>
      <c r="D165" s="183"/>
      <c r="E165" s="184"/>
      <c r="F165" s="185"/>
      <c r="G165" s="185"/>
      <c r="I165" s="173"/>
    </row>
    <row r="166" spans="2:12" x14ac:dyDescent="0.25">
      <c r="B166" s="140" t="s">
        <v>1185</v>
      </c>
      <c r="I166" s="173"/>
      <c r="L166" s="174"/>
    </row>
    <row r="168" spans="2:12" x14ac:dyDescent="0.25">
      <c r="B168" s="166" t="s">
        <v>1102</v>
      </c>
      <c r="C168" s="166" t="s">
        <v>1168</v>
      </c>
    </row>
    <row r="169" spans="2:12" x14ac:dyDescent="0.25">
      <c r="B169" s="143" t="s">
        <v>1175</v>
      </c>
      <c r="C169" s="144">
        <v>1.61</v>
      </c>
    </row>
    <row r="170" spans="2:12" x14ac:dyDescent="0.25">
      <c r="B170" s="186" t="s">
        <v>818</v>
      </c>
      <c r="C170" s="187">
        <v>1.47</v>
      </c>
    </row>
    <row r="171" spans="2:12" x14ac:dyDescent="0.25">
      <c r="B171" s="188" t="s">
        <v>826</v>
      </c>
      <c r="C171" s="189">
        <v>1.27</v>
      </c>
    </row>
    <row r="172" spans="2:12" x14ac:dyDescent="0.25">
      <c r="B172" s="188" t="s">
        <v>1163</v>
      </c>
      <c r="C172" s="189">
        <v>0.98</v>
      </c>
    </row>
    <row r="173" spans="2:12" x14ac:dyDescent="0.25">
      <c r="B173" s="190"/>
      <c r="C173" s="191"/>
    </row>
    <row r="174" spans="2:12" x14ac:dyDescent="0.25">
      <c r="B174" s="140" t="s">
        <v>1186</v>
      </c>
    </row>
    <row r="175" spans="2:12" x14ac:dyDescent="0.25">
      <c r="B175" s="140"/>
    </row>
    <row r="176" spans="2:12" ht="54" x14ac:dyDescent="0.25">
      <c r="B176" s="141" t="s">
        <v>1102</v>
      </c>
      <c r="C176" s="142" t="s">
        <v>1170</v>
      </c>
      <c r="D176" s="142" t="s">
        <v>1171</v>
      </c>
      <c r="E176" s="142" t="s">
        <v>1172</v>
      </c>
      <c r="F176" s="142" t="s">
        <v>1187</v>
      </c>
      <c r="G176" s="142" t="s">
        <v>1188</v>
      </c>
      <c r="H176" s="172"/>
      <c r="I176" s="173">
        <f>+C177-D177</f>
        <v>0</v>
      </c>
    </row>
    <row r="177" spans="2:9" x14ac:dyDescent="0.25">
      <c r="B177" s="143" t="s">
        <v>664</v>
      </c>
      <c r="C177" s="175">
        <f>40+45+142+80+386+1079+1260+712+535+1119</f>
        <v>5398</v>
      </c>
      <c r="D177" s="175">
        <f>40+45+142+80+386+1079+1260+712+535+1119</f>
        <v>5398</v>
      </c>
      <c r="E177" s="176">
        <f>361.4+420.93+1363.34+727.42+2935.74+9538.32+11989.25+5075.94+3811.8+5988.65</f>
        <v>42212.79</v>
      </c>
      <c r="F177" s="176">
        <f>361.08+406.27+1552.43+730.32+2881.01+9664.59+12032.16+5144.63+3788.36+5899.78</f>
        <v>42460.63</v>
      </c>
      <c r="G177" s="179">
        <f t="shared" ref="G177:G188" si="1">+F177-E177</f>
        <v>247.83999999999651</v>
      </c>
      <c r="H177" s="192"/>
      <c r="I177" s="173"/>
    </row>
    <row r="178" spans="2:9" x14ac:dyDescent="0.25">
      <c r="B178" s="143" t="s">
        <v>1</v>
      </c>
      <c r="C178" s="175">
        <f>132+240</f>
        <v>372</v>
      </c>
      <c r="D178" s="175">
        <f>132+240</f>
        <v>372</v>
      </c>
      <c r="E178" s="176">
        <f>742.02+1424.62</f>
        <v>2166.64</v>
      </c>
      <c r="F178" s="176">
        <f>726.44+1609.51</f>
        <v>2335.9499999999998</v>
      </c>
      <c r="G178" s="179">
        <f t="shared" si="1"/>
        <v>169.30999999999995</v>
      </c>
      <c r="H178" s="193"/>
      <c r="I178" s="173"/>
    </row>
    <row r="179" spans="2:9" x14ac:dyDescent="0.25">
      <c r="B179" s="168" t="s">
        <v>185</v>
      </c>
      <c r="C179" s="194">
        <f>391+1139+575+1178+900+52+4133</f>
        <v>8368</v>
      </c>
      <c r="D179" s="194">
        <f>391+1139+575+1178+900+52+4133</f>
        <v>8368</v>
      </c>
      <c r="E179" s="178">
        <f>4455.76011+7301.72+4339.13+9157+6390.78+298.69+23919.17</f>
        <v>55862.250109999994</v>
      </c>
      <c r="F179" s="178">
        <f>4461.37606+7701.07+4325.89+9572.11+5998.05+296.33+24467.41</f>
        <v>56822.236059999996</v>
      </c>
      <c r="G179" s="179">
        <f t="shared" si="1"/>
        <v>959.98595000000205</v>
      </c>
      <c r="H179" s="195"/>
      <c r="I179" s="173"/>
    </row>
    <row r="180" spans="2:9" x14ac:dyDescent="0.25">
      <c r="B180" s="143" t="s">
        <v>734</v>
      </c>
      <c r="C180" s="177">
        <f>195+743+378+200+207</f>
        <v>1723</v>
      </c>
      <c r="D180" s="177">
        <f>195+743+378+200+207</f>
        <v>1723</v>
      </c>
      <c r="E180" s="178">
        <f>1270.8968768+6369.19+2606.56+1422.23+1245.52</f>
        <v>12914.3968768</v>
      </c>
      <c r="F180" s="178">
        <f>1484.0392128+6919.27+2767.79+1332.9+1379.47</f>
        <v>13883.469212799999</v>
      </c>
      <c r="G180" s="179">
        <f t="shared" si="1"/>
        <v>969.07233599999927</v>
      </c>
      <c r="H180" s="195"/>
      <c r="I180" s="173"/>
    </row>
    <row r="181" spans="2:9" x14ac:dyDescent="0.25">
      <c r="B181" s="143" t="s">
        <v>840</v>
      </c>
      <c r="C181" s="177">
        <v>60</v>
      </c>
      <c r="D181" s="177">
        <v>60</v>
      </c>
      <c r="E181" s="178">
        <v>621.71165069999995</v>
      </c>
      <c r="F181" s="178">
        <v>686.31184439999993</v>
      </c>
      <c r="G181" s="179">
        <f t="shared" si="1"/>
        <v>64.600193699999977</v>
      </c>
      <c r="H181" s="195"/>
      <c r="I181" s="173"/>
    </row>
    <row r="182" spans="2:9" x14ac:dyDescent="0.25">
      <c r="B182" s="143" t="s">
        <v>818</v>
      </c>
      <c r="C182" s="175">
        <f>1800+1818+1024+299+1000+781+1675</f>
        <v>8397</v>
      </c>
      <c r="D182" s="175">
        <f>1800+1818+1024+299+1000+781+1675</f>
        <v>8397</v>
      </c>
      <c r="E182" s="176">
        <f>10398.53+10825.91+7998.89+2728.05+9293.28+4495.82+8594.01</f>
        <v>54334.490000000005</v>
      </c>
      <c r="F182" s="176">
        <f>11332.17+11195.48+8495.89+2777.74+9303.7+4321.58+7692.48</f>
        <v>55119.039999999994</v>
      </c>
      <c r="G182" s="171">
        <f t="shared" si="1"/>
        <v>784.54999999998836</v>
      </c>
      <c r="H182" s="195"/>
      <c r="I182" s="173"/>
    </row>
    <row r="183" spans="2:9" x14ac:dyDescent="0.25">
      <c r="B183" s="143" t="s">
        <v>1176</v>
      </c>
      <c r="C183" s="175">
        <f>1262+398+1158+175+643+907</f>
        <v>4543</v>
      </c>
      <c r="D183" s="175">
        <f>1262+398+1158+175+643+907</f>
        <v>4543</v>
      </c>
      <c r="E183" s="176">
        <f>10073.6+2590.33+7829.44+1364.99+4429.74+5648.35</f>
        <v>31936.449999999997</v>
      </c>
      <c r="F183" s="176">
        <f>10153.0829+2668.21+7886.86+1372.92+4424.08+5488.25</f>
        <v>31993.402900000001</v>
      </c>
      <c r="G183" s="171">
        <f t="shared" si="1"/>
        <v>56.952900000003865</v>
      </c>
      <c r="H183" s="195"/>
      <c r="I183" s="173"/>
    </row>
    <row r="184" spans="2:9" x14ac:dyDescent="0.25">
      <c r="B184" s="143" t="s">
        <v>523</v>
      </c>
      <c r="C184" s="177">
        <f>120+216+964+240+1946+2107+3353+3584+1176+3182</f>
        <v>16888</v>
      </c>
      <c r="D184" s="177">
        <f>120+216+964+240+1946+2107+3353+3584+1176+3182</f>
        <v>16888</v>
      </c>
      <c r="E184" s="178">
        <f>1084.24392+1751.03+7741.11+1775.38+14240.58+17586.06+32271.62+25332.49+8652.92+16957.89</f>
        <v>127393.32392</v>
      </c>
      <c r="F184" s="178">
        <f>1083.24+1668.12+8697.72+1854.3+14281.6+17603.03+32204.04+25111.62+8531.42+16770.34</f>
        <v>127805.42999999998</v>
      </c>
      <c r="G184" s="179">
        <f t="shared" si="1"/>
        <v>412.10607999998319</v>
      </c>
      <c r="H184" s="195"/>
      <c r="I184" s="173"/>
    </row>
    <row r="185" spans="2:9" x14ac:dyDescent="0.25">
      <c r="B185" s="143" t="s">
        <v>1175</v>
      </c>
      <c r="C185" s="177">
        <f>568+422+422+3071+168</f>
        <v>4651</v>
      </c>
      <c r="D185" s="177">
        <f>568+422+422+3071+168</f>
        <v>4651</v>
      </c>
      <c r="E185" s="178">
        <f>5003.84058+2228.39+2294.16+16822.44+654.24</f>
        <v>27003.07058</v>
      </c>
      <c r="F185" s="178">
        <f>5272.9444+2330.96+2470.62+15667.82+727.45</f>
        <v>26469.794400000002</v>
      </c>
      <c r="G185" s="179">
        <f t="shared" si="1"/>
        <v>-533.27617999999711</v>
      </c>
      <c r="H185" s="195"/>
      <c r="I185" s="173"/>
    </row>
    <row r="186" spans="2:9" x14ac:dyDescent="0.25">
      <c r="B186" s="143" t="s">
        <v>826</v>
      </c>
      <c r="C186" s="177">
        <f>120+450</f>
        <v>570</v>
      </c>
      <c r="D186" s="177">
        <f>120+450</f>
        <v>570</v>
      </c>
      <c r="E186" s="178">
        <f>635.0751+2333.25</f>
        <v>2968.3251</v>
      </c>
      <c r="F186" s="178">
        <f>651.447+1839.44</f>
        <v>2490.8870000000002</v>
      </c>
      <c r="G186" s="179">
        <f t="shared" si="1"/>
        <v>-477.43809999999985</v>
      </c>
      <c r="H186" s="195"/>
      <c r="I186" s="173"/>
    </row>
    <row r="187" spans="2:9" x14ac:dyDescent="0.25">
      <c r="B187" s="143" t="s">
        <v>675</v>
      </c>
      <c r="C187" s="177">
        <v>402</v>
      </c>
      <c r="D187" s="177">
        <v>402</v>
      </c>
      <c r="E187" s="178">
        <v>2031.18</v>
      </c>
      <c r="F187" s="178">
        <v>1830.9616599999999</v>
      </c>
      <c r="G187" s="179">
        <f t="shared" si="1"/>
        <v>-200.21834000000013</v>
      </c>
      <c r="H187" s="195"/>
      <c r="I187" s="173"/>
    </row>
    <row r="188" spans="2:9" x14ac:dyDescent="0.25">
      <c r="B188" s="143" t="s">
        <v>1163</v>
      </c>
      <c r="C188" s="175">
        <f>102+142+303</f>
        <v>547</v>
      </c>
      <c r="D188" s="175">
        <f>102+142+303</f>
        <v>547</v>
      </c>
      <c r="E188" s="176">
        <f>821.2406+1315.54+1471.03</f>
        <v>3607.8105999999998</v>
      </c>
      <c r="F188" s="176">
        <f>881.3522+1321.13+1383.1</f>
        <v>3585.5822000000003</v>
      </c>
      <c r="G188" s="179">
        <f t="shared" si="1"/>
        <v>-22.22839999999951</v>
      </c>
      <c r="H188" s="172"/>
      <c r="I188" s="173"/>
    </row>
    <row r="189" spans="2:9" x14ac:dyDescent="0.25">
      <c r="H189" s="172"/>
      <c r="I189" s="173"/>
    </row>
    <row r="190" spans="2:9" x14ac:dyDescent="0.25">
      <c r="B190" s="196"/>
      <c r="C190" s="197"/>
      <c r="D190" s="197"/>
      <c r="E190" s="198"/>
      <c r="F190" s="198"/>
      <c r="G190" s="198"/>
      <c r="H190" s="173"/>
    </row>
    <row r="191" spans="2:9" x14ac:dyDescent="0.25">
      <c r="B191" s="140" t="s">
        <v>1189</v>
      </c>
      <c r="D191" s="199"/>
    </row>
    <row r="193" spans="2:7" ht="27" x14ac:dyDescent="0.25">
      <c r="B193" s="142" t="s">
        <v>1102</v>
      </c>
      <c r="C193" s="142" t="s">
        <v>1103</v>
      </c>
      <c r="D193" s="142" t="s">
        <v>1190</v>
      </c>
      <c r="E193" s="142" t="s">
        <v>1191</v>
      </c>
      <c r="F193" s="142" t="s">
        <v>1192</v>
      </c>
      <c r="G193" s="142" t="s">
        <v>1193</v>
      </c>
    </row>
    <row r="194" spans="2:7" x14ac:dyDescent="0.25">
      <c r="B194" s="200" t="s">
        <v>674</v>
      </c>
      <c r="C194" s="200" t="s">
        <v>674</v>
      </c>
      <c r="D194" s="200" t="s">
        <v>674</v>
      </c>
      <c r="E194" s="200" t="s">
        <v>674</v>
      </c>
      <c r="F194" s="200" t="s">
        <v>674</v>
      </c>
      <c r="G194" s="200" t="s">
        <v>674</v>
      </c>
    </row>
    <row r="195" spans="2:7" x14ac:dyDescent="0.25">
      <c r="D195" s="199"/>
      <c r="E195" s="199"/>
      <c r="F195" s="201"/>
      <c r="G195" s="201"/>
    </row>
    <row r="196" spans="2:7" x14ac:dyDescent="0.25">
      <c r="D196" s="199"/>
      <c r="E196" s="199"/>
      <c r="F196" s="201"/>
      <c r="G196" s="201"/>
    </row>
    <row r="197" spans="2:7" x14ac:dyDescent="0.25">
      <c r="B197" s="140" t="s">
        <v>1194</v>
      </c>
      <c r="G197" s="139" t="s">
        <v>1195</v>
      </c>
    </row>
    <row r="198" spans="2:7" x14ac:dyDescent="0.25">
      <c r="B198" s="140"/>
    </row>
    <row r="199" spans="2:7" x14ac:dyDescent="0.25">
      <c r="B199" s="166" t="s">
        <v>1102</v>
      </c>
      <c r="C199" s="166" t="s">
        <v>1168</v>
      </c>
    </row>
    <row r="200" spans="2:7" x14ac:dyDescent="0.25">
      <c r="B200" s="200" t="s">
        <v>674</v>
      </c>
      <c r="C200" s="200" t="s">
        <v>674</v>
      </c>
    </row>
    <row r="201" spans="2:7" x14ac:dyDescent="0.25">
      <c r="C201" s="202"/>
      <c r="D201" s="203"/>
    </row>
    <row r="202" spans="2:7" x14ac:dyDescent="0.25">
      <c r="B202" s="140" t="s">
        <v>1196</v>
      </c>
    </row>
    <row r="204" spans="2:7" ht="40.5" x14ac:dyDescent="0.25">
      <c r="B204" s="141" t="s">
        <v>1102</v>
      </c>
      <c r="C204" s="142" t="s">
        <v>1197</v>
      </c>
      <c r="D204" s="142" t="s">
        <v>1198</v>
      </c>
      <c r="E204" s="142" t="s">
        <v>1199</v>
      </c>
      <c r="F204" s="142" t="s">
        <v>1200</v>
      </c>
    </row>
    <row r="205" spans="2:7" x14ac:dyDescent="0.25">
      <c r="B205" s="204"/>
      <c r="C205" s="200"/>
      <c r="D205" s="205"/>
      <c r="E205" s="179"/>
      <c r="F205" s="179">
        <f>+E205-D205</f>
        <v>0</v>
      </c>
    </row>
    <row r="206" spans="2:7" x14ac:dyDescent="0.25">
      <c r="B206" s="206"/>
      <c r="C206" s="207"/>
      <c r="D206" s="208"/>
      <c r="E206" s="208"/>
      <c r="F206" s="209"/>
    </row>
    <row r="207" spans="2:7" x14ac:dyDescent="0.25">
      <c r="B207" s="206"/>
      <c r="C207" s="207"/>
      <c r="D207" s="208"/>
      <c r="E207" s="208"/>
      <c r="F207" s="209"/>
    </row>
    <row r="209" spans="2:7" x14ac:dyDescent="0.25">
      <c r="B209" s="140" t="s">
        <v>1201</v>
      </c>
    </row>
    <row r="211" spans="2:7" ht="27" x14ac:dyDescent="0.25">
      <c r="B211" s="142" t="s">
        <v>1102</v>
      </c>
      <c r="C211" s="142" t="s">
        <v>1103</v>
      </c>
      <c r="D211" s="142" t="s">
        <v>1190</v>
      </c>
      <c r="E211" s="142" t="s">
        <v>1191</v>
      </c>
      <c r="F211" s="142" t="s">
        <v>1192</v>
      </c>
      <c r="G211" s="142" t="s">
        <v>1193</v>
      </c>
    </row>
    <row r="212" spans="2:7" x14ac:dyDescent="0.25">
      <c r="B212" s="143" t="s">
        <v>674</v>
      </c>
      <c r="C212" s="143" t="s">
        <v>674</v>
      </c>
      <c r="D212" s="143" t="s">
        <v>674</v>
      </c>
      <c r="E212" s="143" t="s">
        <v>674</v>
      </c>
      <c r="F212" s="143" t="s">
        <v>674</v>
      </c>
      <c r="G212" s="143" t="s">
        <v>674</v>
      </c>
    </row>
    <row r="213" spans="2:7" x14ac:dyDescent="0.25">
      <c r="C213" s="182"/>
      <c r="D213" s="210"/>
      <c r="E213" s="211"/>
      <c r="F213" s="201"/>
      <c r="G213" s="201"/>
    </row>
    <row r="214" spans="2:7" x14ac:dyDescent="0.25">
      <c r="B214" s="140" t="s">
        <v>1202</v>
      </c>
    </row>
    <row r="215" spans="2:7" x14ac:dyDescent="0.25">
      <c r="B215" s="140"/>
    </row>
    <row r="216" spans="2:7" x14ac:dyDescent="0.25">
      <c r="B216" s="166" t="s">
        <v>1102</v>
      </c>
      <c r="C216" s="166" t="s">
        <v>1168</v>
      </c>
    </row>
    <row r="217" spans="2:7" x14ac:dyDescent="0.25">
      <c r="B217" s="143" t="s">
        <v>674</v>
      </c>
      <c r="C217" s="143" t="s">
        <v>674</v>
      </c>
    </row>
    <row r="218" spans="2:7" x14ac:dyDescent="0.25">
      <c r="B218" s="190"/>
      <c r="C218" s="203"/>
    </row>
    <row r="219" spans="2:7" x14ac:dyDescent="0.25">
      <c r="B219" s="140" t="s">
        <v>1203</v>
      </c>
    </row>
    <row r="221" spans="2:7" ht="40.5" x14ac:dyDescent="0.25">
      <c r="B221" s="141" t="s">
        <v>1102</v>
      </c>
      <c r="C221" s="142" t="s">
        <v>1197</v>
      </c>
      <c r="D221" s="142" t="s">
        <v>1204</v>
      </c>
      <c r="E221" s="142" t="s">
        <v>1205</v>
      </c>
      <c r="F221" s="142" t="s">
        <v>1200</v>
      </c>
    </row>
    <row r="222" spans="2:7" x14ac:dyDescent="0.25">
      <c r="B222" s="143"/>
      <c r="C222" s="200"/>
      <c r="D222" s="205"/>
      <c r="E222" s="200"/>
      <c r="F222" s="200"/>
    </row>
    <row r="223" spans="2:7" x14ac:dyDescent="0.25">
      <c r="G223" s="212"/>
    </row>
    <row r="224" spans="2:7" x14ac:dyDescent="0.25">
      <c r="F224" s="213"/>
      <c r="G224" s="174"/>
    </row>
    <row r="225" spans="2:8" x14ac:dyDescent="0.25">
      <c r="B225" s="140" t="s">
        <v>1206</v>
      </c>
    </row>
    <row r="226" spans="2:8" ht="26.25" x14ac:dyDescent="0.25">
      <c r="B226" s="214" t="s">
        <v>1207</v>
      </c>
      <c r="C226" s="215" t="s">
        <v>1208</v>
      </c>
      <c r="D226" s="215" t="s">
        <v>1209</v>
      </c>
      <c r="E226" s="216" t="s">
        <v>1210</v>
      </c>
      <c r="F226" s="216" t="s">
        <v>1211</v>
      </c>
      <c r="G226" s="215" t="s">
        <v>1212</v>
      </c>
      <c r="H226" s="215" t="s">
        <v>1213</v>
      </c>
    </row>
    <row r="227" spans="2:8" x14ac:dyDescent="0.25">
      <c r="B227" s="168" t="s">
        <v>1214</v>
      </c>
      <c r="C227" s="217" t="s">
        <v>1215</v>
      </c>
      <c r="D227" s="218" t="s">
        <v>1216</v>
      </c>
      <c r="E227" s="219" t="s">
        <v>1217</v>
      </c>
      <c r="F227" s="219" t="s">
        <v>1218</v>
      </c>
      <c r="G227" s="220">
        <v>2500</v>
      </c>
      <c r="H227" s="221">
        <v>46002</v>
      </c>
    </row>
    <row r="228" spans="2:8" x14ac:dyDescent="0.25">
      <c r="E228" s="174"/>
    </row>
    <row r="229" spans="2:8" x14ac:dyDescent="0.25">
      <c r="B229" s="140" t="s">
        <v>1219</v>
      </c>
      <c r="E229" s="174"/>
    </row>
    <row r="230" spans="2:8" x14ac:dyDescent="0.25">
      <c r="E230" s="174"/>
    </row>
    <row r="231" spans="2:8" ht="27" x14ac:dyDescent="0.25">
      <c r="B231" s="141" t="s">
        <v>1102</v>
      </c>
      <c r="C231" s="142" t="s">
        <v>1103</v>
      </c>
      <c r="D231" s="142" t="s">
        <v>1104</v>
      </c>
      <c r="E231" s="142" t="s">
        <v>1220</v>
      </c>
      <c r="F231" s="142" t="s">
        <v>1221</v>
      </c>
      <c r="G231" s="142" t="s">
        <v>1222</v>
      </c>
    </row>
    <row r="232" spans="2:8" x14ac:dyDescent="0.25">
      <c r="B232" s="222" t="s">
        <v>674</v>
      </c>
      <c r="C232" s="222" t="s">
        <v>674</v>
      </c>
      <c r="D232" s="222" t="s">
        <v>674</v>
      </c>
      <c r="E232" s="222" t="s">
        <v>674</v>
      </c>
      <c r="F232" s="222" t="s">
        <v>674</v>
      </c>
      <c r="G232" s="222" t="s">
        <v>674</v>
      </c>
    </row>
    <row r="233" spans="2:8" x14ac:dyDescent="0.25">
      <c r="E233" s="174"/>
    </row>
    <row r="234" spans="2:8" x14ac:dyDescent="0.25">
      <c r="B234" s="140" t="s">
        <v>1223</v>
      </c>
      <c r="E234" s="174"/>
    </row>
    <row r="235" spans="2:8" x14ac:dyDescent="0.25">
      <c r="B235" s="140"/>
      <c r="E235" s="174"/>
    </row>
    <row r="236" spans="2:8" x14ac:dyDescent="0.25">
      <c r="B236" s="166" t="s">
        <v>1102</v>
      </c>
      <c r="C236" s="166" t="s">
        <v>1168</v>
      </c>
      <c r="E236" s="174"/>
    </row>
    <row r="237" spans="2:8" x14ac:dyDescent="0.25">
      <c r="B237" s="222" t="s">
        <v>674</v>
      </c>
      <c r="C237" s="222" t="s">
        <v>674</v>
      </c>
      <c r="E237" s="174"/>
    </row>
    <row r="238" spans="2:8" x14ac:dyDescent="0.25">
      <c r="E238" s="174"/>
    </row>
    <row r="239" spans="2:8" x14ac:dyDescent="0.25">
      <c r="B239" s="140" t="s">
        <v>1224</v>
      </c>
      <c r="E239" s="174"/>
    </row>
    <row r="240" spans="2:8" x14ac:dyDescent="0.25">
      <c r="E240" s="174"/>
    </row>
    <row r="241" spans="2:10" ht="67.5" x14ac:dyDescent="0.25">
      <c r="B241" s="141" t="s">
        <v>1102</v>
      </c>
      <c r="C241" s="142" t="s">
        <v>1170</v>
      </c>
      <c r="D241" s="142" t="s">
        <v>1171</v>
      </c>
      <c r="E241" s="142" t="s">
        <v>1172</v>
      </c>
      <c r="F241" s="142" t="s">
        <v>1173</v>
      </c>
      <c r="G241" s="142" t="s">
        <v>1174</v>
      </c>
    </row>
    <row r="242" spans="2:10" x14ac:dyDescent="0.25">
      <c r="B242" s="194"/>
      <c r="C242" s="194"/>
      <c r="D242" s="169"/>
      <c r="E242" s="223"/>
      <c r="F242" s="224"/>
      <c r="G242" s="225"/>
      <c r="I242" s="173"/>
      <c r="J242" s="174"/>
    </row>
    <row r="243" spans="2:10" x14ac:dyDescent="0.25">
      <c r="E243" s="174"/>
    </row>
    <row r="244" spans="2:10" x14ac:dyDescent="0.25">
      <c r="E244" s="174"/>
    </row>
    <row r="245" spans="2:10" x14ac:dyDescent="0.25">
      <c r="B245" s="140" t="s">
        <v>1225</v>
      </c>
      <c r="E245" s="174"/>
    </row>
    <row r="246" spans="2:10" x14ac:dyDescent="0.25">
      <c r="E246" s="174"/>
    </row>
    <row r="247" spans="2:10" ht="67.5" x14ac:dyDescent="0.25">
      <c r="B247" s="141" t="s">
        <v>1102</v>
      </c>
      <c r="C247" s="142" t="s">
        <v>1170</v>
      </c>
      <c r="D247" s="142" t="s">
        <v>1171</v>
      </c>
      <c r="E247" s="142" t="s">
        <v>1172</v>
      </c>
      <c r="F247" s="142" t="s">
        <v>1173</v>
      </c>
      <c r="G247" s="142" t="s">
        <v>1174</v>
      </c>
    </row>
    <row r="248" spans="2:10" x14ac:dyDescent="0.25">
      <c r="B248" s="144"/>
      <c r="C248" s="200"/>
      <c r="D248" s="200"/>
      <c r="E248" s="226"/>
      <c r="F248" s="226"/>
      <c r="G248" s="226"/>
    </row>
    <row r="249" spans="2:10" x14ac:dyDescent="0.25">
      <c r="E249" s="174"/>
    </row>
    <row r="250" spans="2:10" x14ac:dyDescent="0.25">
      <c r="E250" s="174"/>
    </row>
    <row r="251" spans="2:10" x14ac:dyDescent="0.25">
      <c r="E251" s="174"/>
    </row>
    <row r="252" spans="2:10" x14ac:dyDescent="0.25">
      <c r="B252" s="139" t="s">
        <v>1226</v>
      </c>
    </row>
  </sheetData>
  <mergeCells count="3">
    <mergeCell ref="B2:G2"/>
    <mergeCell ref="B3:G3"/>
    <mergeCell ref="B5:G5"/>
  </mergeCells>
  <printOptions horizontalCentered="1"/>
  <pageMargins left="0.17" right="0.15748031496062992" top="0.43307086614173229" bottom="0.47244094488188981" header="0.31496062992125984" footer="0.31496062992125984"/>
  <pageSetup paperSize="9" scale="42"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6BEB8-B2B2-4633-A549-9EAE161F44CF}">
  <sheetPr>
    <outlinePr summaryBelow="0" summaryRight="0"/>
  </sheetPr>
  <dimension ref="A1:Q180"/>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1.42578125" bestFit="1" customWidth="1"/>
    <col min="6" max="6" width="10.425781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185</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110</v>
      </c>
      <c r="C7" s="28" t="s">
        <v>111</v>
      </c>
      <c r="D7" s="28" t="s">
        <v>42</v>
      </c>
      <c r="E7" s="29">
        <v>1261598</v>
      </c>
      <c r="F7" s="30">
        <v>36763.596518999999</v>
      </c>
      <c r="G7" s="31">
        <v>3.1589150000000003E-2</v>
      </c>
      <c r="H7" s="24" t="s">
        <v>146</v>
      </c>
    </row>
    <row r="8" spans="1:9" x14ac:dyDescent="0.2">
      <c r="A8" s="27">
        <v>2</v>
      </c>
      <c r="B8" s="28" t="s">
        <v>186</v>
      </c>
      <c r="C8" s="28" t="s">
        <v>187</v>
      </c>
      <c r="D8" s="28" t="s">
        <v>33</v>
      </c>
      <c r="E8" s="29">
        <v>19247362</v>
      </c>
      <c r="F8" s="30">
        <v>36032.986400200003</v>
      </c>
      <c r="G8" s="31">
        <v>3.0961369999999998E-2</v>
      </c>
      <c r="H8" s="24" t="s">
        <v>146</v>
      </c>
    </row>
    <row r="9" spans="1:9" ht="25.5" x14ac:dyDescent="0.2">
      <c r="A9" s="27">
        <v>3</v>
      </c>
      <c r="B9" s="28" t="s">
        <v>188</v>
      </c>
      <c r="C9" s="28" t="s">
        <v>189</v>
      </c>
      <c r="D9" s="28" t="s">
        <v>190</v>
      </c>
      <c r="E9" s="29">
        <v>1747182</v>
      </c>
      <c r="F9" s="30">
        <v>31616.131881000001</v>
      </c>
      <c r="G9" s="31">
        <v>2.7166180000000002E-2</v>
      </c>
      <c r="H9" s="24" t="s">
        <v>146</v>
      </c>
    </row>
    <row r="10" spans="1:9" x14ac:dyDescent="0.2">
      <c r="A10" s="27">
        <v>4</v>
      </c>
      <c r="B10" s="28" t="s">
        <v>191</v>
      </c>
      <c r="C10" s="28" t="s">
        <v>192</v>
      </c>
      <c r="D10" s="28" t="s">
        <v>39</v>
      </c>
      <c r="E10" s="29">
        <v>6016821</v>
      </c>
      <c r="F10" s="30">
        <v>30270.626451</v>
      </c>
      <c r="G10" s="31">
        <v>2.6010060000000002E-2</v>
      </c>
      <c r="H10" s="24" t="s">
        <v>146</v>
      </c>
    </row>
    <row r="11" spans="1:9" x14ac:dyDescent="0.2">
      <c r="A11" s="27">
        <v>5</v>
      </c>
      <c r="B11" s="28" t="s">
        <v>193</v>
      </c>
      <c r="C11" s="28" t="s">
        <v>194</v>
      </c>
      <c r="D11" s="28" t="s">
        <v>195</v>
      </c>
      <c r="E11" s="29">
        <v>484892</v>
      </c>
      <c r="F11" s="30">
        <v>29251.594792</v>
      </c>
      <c r="G11" s="31">
        <v>2.5134449999999999E-2</v>
      </c>
      <c r="H11" s="24" t="s">
        <v>146</v>
      </c>
    </row>
    <row r="12" spans="1:9" ht="25.5" x14ac:dyDescent="0.2">
      <c r="A12" s="27">
        <v>6</v>
      </c>
      <c r="B12" s="28" t="s">
        <v>196</v>
      </c>
      <c r="C12" s="28" t="s">
        <v>197</v>
      </c>
      <c r="D12" s="28" t="s">
        <v>198</v>
      </c>
      <c r="E12" s="29">
        <v>1350321</v>
      </c>
      <c r="F12" s="30">
        <v>28092.7532445</v>
      </c>
      <c r="G12" s="31">
        <v>2.4138719999999999E-2</v>
      </c>
      <c r="H12" s="24" t="s">
        <v>146</v>
      </c>
    </row>
    <row r="13" spans="1:9" x14ac:dyDescent="0.2">
      <c r="A13" s="27">
        <v>7</v>
      </c>
      <c r="B13" s="28" t="s">
        <v>199</v>
      </c>
      <c r="C13" s="28" t="s">
        <v>200</v>
      </c>
      <c r="D13" s="28" t="s">
        <v>33</v>
      </c>
      <c r="E13" s="29">
        <v>4897146</v>
      </c>
      <c r="F13" s="30">
        <v>27215.888895</v>
      </c>
      <c r="G13" s="31">
        <v>2.338527E-2</v>
      </c>
      <c r="H13" s="24" t="s">
        <v>146</v>
      </c>
    </row>
    <row r="14" spans="1:9" x14ac:dyDescent="0.2">
      <c r="A14" s="27">
        <v>8</v>
      </c>
      <c r="B14" s="28" t="s">
        <v>201</v>
      </c>
      <c r="C14" s="28" t="s">
        <v>202</v>
      </c>
      <c r="D14" s="28" t="s">
        <v>47</v>
      </c>
      <c r="E14" s="29">
        <v>1389543</v>
      </c>
      <c r="F14" s="30">
        <v>25187.551189500002</v>
      </c>
      <c r="G14" s="31">
        <v>2.1642419999999999E-2</v>
      </c>
      <c r="H14" s="24" t="s">
        <v>146</v>
      </c>
    </row>
    <row r="15" spans="1:9" x14ac:dyDescent="0.2">
      <c r="A15" s="27">
        <v>9</v>
      </c>
      <c r="B15" s="28" t="s">
        <v>203</v>
      </c>
      <c r="C15" s="28" t="s">
        <v>204</v>
      </c>
      <c r="D15" s="28" t="s">
        <v>205</v>
      </c>
      <c r="E15" s="29">
        <v>434230</v>
      </c>
      <c r="F15" s="30">
        <v>24982.120360000001</v>
      </c>
      <c r="G15" s="31">
        <v>2.1465910000000001E-2</v>
      </c>
      <c r="H15" s="24" t="s">
        <v>146</v>
      </c>
    </row>
    <row r="16" spans="1:9" x14ac:dyDescent="0.2">
      <c r="A16" s="27">
        <v>10</v>
      </c>
      <c r="B16" s="28" t="s">
        <v>206</v>
      </c>
      <c r="C16" s="28" t="s">
        <v>207</v>
      </c>
      <c r="D16" s="28" t="s">
        <v>208</v>
      </c>
      <c r="E16" s="29">
        <v>3879249</v>
      </c>
      <c r="F16" s="30">
        <v>24834.952098000002</v>
      </c>
      <c r="G16" s="31">
        <v>2.1339449999999999E-2</v>
      </c>
      <c r="H16" s="24" t="s">
        <v>146</v>
      </c>
    </row>
    <row r="17" spans="1:8" x14ac:dyDescent="0.2">
      <c r="A17" s="27">
        <v>11</v>
      </c>
      <c r="B17" s="28" t="s">
        <v>209</v>
      </c>
      <c r="C17" s="28" t="s">
        <v>210</v>
      </c>
      <c r="D17" s="28" t="s">
        <v>120</v>
      </c>
      <c r="E17" s="29">
        <v>8478867</v>
      </c>
      <c r="F17" s="30">
        <v>24160.531516499999</v>
      </c>
      <c r="G17" s="31">
        <v>2.0759949999999999E-2</v>
      </c>
      <c r="H17" s="24" t="s">
        <v>146</v>
      </c>
    </row>
    <row r="18" spans="1:8" x14ac:dyDescent="0.2">
      <c r="A18" s="27">
        <v>12</v>
      </c>
      <c r="B18" s="28" t="s">
        <v>211</v>
      </c>
      <c r="C18" s="28" t="s">
        <v>212</v>
      </c>
      <c r="D18" s="28" t="s">
        <v>33</v>
      </c>
      <c r="E18" s="29">
        <v>3817491</v>
      </c>
      <c r="F18" s="30">
        <v>22941.212164500001</v>
      </c>
      <c r="G18" s="31">
        <v>1.9712250000000001E-2</v>
      </c>
      <c r="H18" s="24" t="s">
        <v>146</v>
      </c>
    </row>
    <row r="19" spans="1:8" ht="25.5" x14ac:dyDescent="0.2">
      <c r="A19" s="27">
        <v>13</v>
      </c>
      <c r="B19" s="28" t="s">
        <v>213</v>
      </c>
      <c r="C19" s="28" t="s">
        <v>214</v>
      </c>
      <c r="D19" s="28" t="s">
        <v>215</v>
      </c>
      <c r="E19" s="29">
        <v>1224999</v>
      </c>
      <c r="F19" s="30">
        <v>21153.282732</v>
      </c>
      <c r="G19" s="31">
        <v>1.817597E-2</v>
      </c>
      <c r="H19" s="24" t="s">
        <v>146</v>
      </c>
    </row>
    <row r="20" spans="1:8" ht="25.5" x14ac:dyDescent="0.2">
      <c r="A20" s="27">
        <v>14</v>
      </c>
      <c r="B20" s="28" t="s">
        <v>216</v>
      </c>
      <c r="C20" s="28" t="s">
        <v>217</v>
      </c>
      <c r="D20" s="28" t="s">
        <v>218</v>
      </c>
      <c r="E20" s="29">
        <v>3147355</v>
      </c>
      <c r="F20" s="30">
        <v>21107.736307499999</v>
      </c>
      <c r="G20" s="31">
        <v>1.8136840000000001E-2</v>
      </c>
      <c r="H20" s="24" t="s">
        <v>146</v>
      </c>
    </row>
    <row r="21" spans="1:8" x14ac:dyDescent="0.2">
      <c r="A21" s="27">
        <v>15</v>
      </c>
      <c r="B21" s="28" t="s">
        <v>219</v>
      </c>
      <c r="C21" s="28" t="s">
        <v>220</v>
      </c>
      <c r="D21" s="28" t="s">
        <v>16</v>
      </c>
      <c r="E21" s="29">
        <v>5531177</v>
      </c>
      <c r="F21" s="30">
        <v>19815.441602499999</v>
      </c>
      <c r="G21" s="31">
        <v>1.7026429999999999E-2</v>
      </c>
      <c r="H21" s="24" t="s">
        <v>146</v>
      </c>
    </row>
    <row r="22" spans="1:8" x14ac:dyDescent="0.2">
      <c r="A22" s="27">
        <v>16</v>
      </c>
      <c r="B22" s="28" t="s">
        <v>221</v>
      </c>
      <c r="C22" s="28" t="s">
        <v>222</v>
      </c>
      <c r="D22" s="28" t="s">
        <v>223</v>
      </c>
      <c r="E22" s="29">
        <v>2758889</v>
      </c>
      <c r="F22" s="30">
        <v>19419.819671000001</v>
      </c>
      <c r="G22" s="31">
        <v>1.6686489999999998E-2</v>
      </c>
      <c r="H22" s="24" t="s">
        <v>146</v>
      </c>
    </row>
    <row r="23" spans="1:8" ht="25.5" x14ac:dyDescent="0.2">
      <c r="A23" s="27">
        <v>17</v>
      </c>
      <c r="B23" s="28" t="s">
        <v>50</v>
      </c>
      <c r="C23" s="28" t="s">
        <v>51</v>
      </c>
      <c r="D23" s="28" t="s">
        <v>25</v>
      </c>
      <c r="E23" s="29">
        <v>384785</v>
      </c>
      <c r="F23" s="30">
        <v>18603.777572499999</v>
      </c>
      <c r="G23" s="31">
        <v>1.5985309999999999E-2</v>
      </c>
      <c r="H23" s="24" t="s">
        <v>146</v>
      </c>
    </row>
    <row r="24" spans="1:8" x14ac:dyDescent="0.2">
      <c r="A24" s="27">
        <v>18</v>
      </c>
      <c r="B24" s="28" t="s">
        <v>224</v>
      </c>
      <c r="C24" s="28" t="s">
        <v>225</v>
      </c>
      <c r="D24" s="28" t="s">
        <v>226</v>
      </c>
      <c r="E24" s="29">
        <v>861547</v>
      </c>
      <c r="F24" s="30">
        <v>18488.798620000001</v>
      </c>
      <c r="G24" s="31">
        <v>1.588651E-2</v>
      </c>
      <c r="H24" s="24" t="s">
        <v>146</v>
      </c>
    </row>
    <row r="25" spans="1:8" x14ac:dyDescent="0.2">
      <c r="A25" s="27">
        <v>19</v>
      </c>
      <c r="B25" s="28" t="s">
        <v>227</v>
      </c>
      <c r="C25" s="28" t="s">
        <v>228</v>
      </c>
      <c r="D25" s="28" t="s">
        <v>83</v>
      </c>
      <c r="E25" s="29">
        <v>4125977</v>
      </c>
      <c r="F25" s="30">
        <v>18042.897421000001</v>
      </c>
      <c r="G25" s="31">
        <v>1.5503370000000001E-2</v>
      </c>
      <c r="H25" s="24" t="s">
        <v>146</v>
      </c>
    </row>
    <row r="26" spans="1:8" x14ac:dyDescent="0.2">
      <c r="A26" s="27">
        <v>20</v>
      </c>
      <c r="B26" s="28" t="s">
        <v>76</v>
      </c>
      <c r="C26" s="28" t="s">
        <v>77</v>
      </c>
      <c r="D26" s="28" t="s">
        <v>19</v>
      </c>
      <c r="E26" s="29">
        <v>5069388</v>
      </c>
      <c r="F26" s="30">
        <v>17600.915136</v>
      </c>
      <c r="G26" s="31">
        <v>1.5123599999999999E-2</v>
      </c>
      <c r="H26" s="24" t="s">
        <v>146</v>
      </c>
    </row>
    <row r="27" spans="1:8" ht="25.5" x14ac:dyDescent="0.2">
      <c r="A27" s="27">
        <v>21</v>
      </c>
      <c r="B27" s="28" t="s">
        <v>229</v>
      </c>
      <c r="C27" s="28" t="s">
        <v>230</v>
      </c>
      <c r="D27" s="28" t="s">
        <v>198</v>
      </c>
      <c r="E27" s="29">
        <v>345744</v>
      </c>
      <c r="F27" s="30">
        <v>17505.191591999999</v>
      </c>
      <c r="G27" s="31">
        <v>1.504135E-2</v>
      </c>
      <c r="H27" s="24" t="s">
        <v>146</v>
      </c>
    </row>
    <row r="28" spans="1:8" x14ac:dyDescent="0.2">
      <c r="A28" s="27">
        <v>22</v>
      </c>
      <c r="B28" s="28" t="s">
        <v>28</v>
      </c>
      <c r="C28" s="28" t="s">
        <v>29</v>
      </c>
      <c r="D28" s="28" t="s">
        <v>30</v>
      </c>
      <c r="E28" s="29">
        <v>5972046</v>
      </c>
      <c r="F28" s="30">
        <v>17477.192619000001</v>
      </c>
      <c r="G28" s="31">
        <v>1.5017290000000001E-2</v>
      </c>
      <c r="H28" s="24" t="s">
        <v>146</v>
      </c>
    </row>
    <row r="29" spans="1:8" x14ac:dyDescent="0.2">
      <c r="A29" s="27">
        <v>23</v>
      </c>
      <c r="B29" s="28" t="s">
        <v>231</v>
      </c>
      <c r="C29" s="28" t="s">
        <v>232</v>
      </c>
      <c r="D29" s="28" t="s">
        <v>233</v>
      </c>
      <c r="E29" s="29">
        <v>328943</v>
      </c>
      <c r="F29" s="30">
        <v>17453.5511085</v>
      </c>
      <c r="G29" s="31">
        <v>1.499698E-2</v>
      </c>
      <c r="H29" s="24" t="s">
        <v>146</v>
      </c>
    </row>
    <row r="30" spans="1:8" x14ac:dyDescent="0.2">
      <c r="A30" s="27">
        <v>24</v>
      </c>
      <c r="B30" s="28" t="s">
        <v>34</v>
      </c>
      <c r="C30" s="28" t="s">
        <v>35</v>
      </c>
      <c r="D30" s="28" t="s">
        <v>36</v>
      </c>
      <c r="E30" s="29">
        <v>954422</v>
      </c>
      <c r="F30" s="30">
        <v>17060.293249999999</v>
      </c>
      <c r="G30" s="31">
        <v>1.465907E-2</v>
      </c>
      <c r="H30" s="24" t="s">
        <v>146</v>
      </c>
    </row>
    <row r="31" spans="1:8" x14ac:dyDescent="0.2">
      <c r="A31" s="27">
        <v>25</v>
      </c>
      <c r="B31" s="28" t="s">
        <v>125</v>
      </c>
      <c r="C31" s="28" t="s">
        <v>126</v>
      </c>
      <c r="D31" s="28" t="s">
        <v>80</v>
      </c>
      <c r="E31" s="29">
        <v>5198692</v>
      </c>
      <c r="F31" s="30">
        <v>16690.400666000001</v>
      </c>
      <c r="G31" s="31">
        <v>1.434124E-2</v>
      </c>
      <c r="H31" s="24" t="s">
        <v>146</v>
      </c>
    </row>
    <row r="32" spans="1:8" x14ac:dyDescent="0.2">
      <c r="A32" s="27">
        <v>26</v>
      </c>
      <c r="B32" s="28" t="s">
        <v>234</v>
      </c>
      <c r="C32" s="28" t="s">
        <v>235</v>
      </c>
      <c r="D32" s="28" t="s">
        <v>205</v>
      </c>
      <c r="E32" s="29">
        <v>214946</v>
      </c>
      <c r="F32" s="30">
        <v>16601.784201999999</v>
      </c>
      <c r="G32" s="31">
        <v>1.4265099999999999E-2</v>
      </c>
      <c r="H32" s="24" t="s">
        <v>146</v>
      </c>
    </row>
    <row r="33" spans="1:8" x14ac:dyDescent="0.2">
      <c r="A33" s="27">
        <v>27</v>
      </c>
      <c r="B33" s="28" t="s">
        <v>236</v>
      </c>
      <c r="C33" s="28" t="s">
        <v>237</v>
      </c>
      <c r="D33" s="28" t="s">
        <v>208</v>
      </c>
      <c r="E33" s="29">
        <v>1553545</v>
      </c>
      <c r="F33" s="30">
        <v>16486.996312499999</v>
      </c>
      <c r="G33" s="31">
        <v>1.4166460000000001E-2</v>
      </c>
      <c r="H33" s="24" t="s">
        <v>146</v>
      </c>
    </row>
    <row r="34" spans="1:8" ht="25.5" x14ac:dyDescent="0.2">
      <c r="A34" s="27">
        <v>28</v>
      </c>
      <c r="B34" s="28" t="s">
        <v>238</v>
      </c>
      <c r="C34" s="28" t="s">
        <v>239</v>
      </c>
      <c r="D34" s="28" t="s">
        <v>198</v>
      </c>
      <c r="E34" s="29">
        <v>1694100</v>
      </c>
      <c r="F34" s="30">
        <v>16437.005249999998</v>
      </c>
      <c r="G34" s="31">
        <v>1.4123510000000001E-2</v>
      </c>
      <c r="H34" s="24" t="s">
        <v>146</v>
      </c>
    </row>
    <row r="35" spans="1:8" x14ac:dyDescent="0.2">
      <c r="A35" s="27">
        <v>29</v>
      </c>
      <c r="B35" s="28" t="s">
        <v>240</v>
      </c>
      <c r="C35" s="28" t="s">
        <v>241</v>
      </c>
      <c r="D35" s="28" t="s">
        <v>195</v>
      </c>
      <c r="E35" s="29">
        <v>558623</v>
      </c>
      <c r="F35" s="30">
        <v>16021.0283285</v>
      </c>
      <c r="G35" s="31">
        <v>1.376608E-2</v>
      </c>
      <c r="H35" s="24" t="s">
        <v>146</v>
      </c>
    </row>
    <row r="36" spans="1:8" x14ac:dyDescent="0.2">
      <c r="A36" s="27">
        <v>30</v>
      </c>
      <c r="B36" s="28" t="s">
        <v>242</v>
      </c>
      <c r="C36" s="28" t="s">
        <v>243</v>
      </c>
      <c r="D36" s="28" t="s">
        <v>33</v>
      </c>
      <c r="E36" s="29">
        <v>13272130</v>
      </c>
      <c r="F36" s="30">
        <v>15327.982937000001</v>
      </c>
      <c r="G36" s="31">
        <v>1.3170579999999999E-2</v>
      </c>
      <c r="H36" s="24" t="s">
        <v>146</v>
      </c>
    </row>
    <row r="37" spans="1:8" x14ac:dyDescent="0.2">
      <c r="A37" s="27">
        <v>31</v>
      </c>
      <c r="B37" s="28" t="s">
        <v>127</v>
      </c>
      <c r="C37" s="28" t="s">
        <v>128</v>
      </c>
      <c r="D37" s="28" t="s">
        <v>22</v>
      </c>
      <c r="E37" s="29">
        <v>999724</v>
      </c>
      <c r="F37" s="30">
        <v>14630.460878</v>
      </c>
      <c r="G37" s="31">
        <v>1.2571229999999999E-2</v>
      </c>
      <c r="H37" s="24" t="s">
        <v>146</v>
      </c>
    </row>
    <row r="38" spans="1:8" x14ac:dyDescent="0.2">
      <c r="A38" s="27">
        <v>32</v>
      </c>
      <c r="B38" s="28" t="s">
        <v>244</v>
      </c>
      <c r="C38" s="28" t="s">
        <v>245</v>
      </c>
      <c r="D38" s="28" t="s">
        <v>120</v>
      </c>
      <c r="E38" s="29">
        <v>152906</v>
      </c>
      <c r="F38" s="30">
        <v>14316.053609000001</v>
      </c>
      <c r="G38" s="31">
        <v>1.2301080000000001E-2</v>
      </c>
      <c r="H38" s="24" t="s">
        <v>146</v>
      </c>
    </row>
    <row r="39" spans="1:8" ht="25.5" x14ac:dyDescent="0.2">
      <c r="A39" s="27">
        <v>33</v>
      </c>
      <c r="B39" s="28" t="s">
        <v>246</v>
      </c>
      <c r="C39" s="28" t="s">
        <v>247</v>
      </c>
      <c r="D39" s="28" t="s">
        <v>25</v>
      </c>
      <c r="E39" s="29">
        <v>710076</v>
      </c>
      <c r="F39" s="30">
        <v>14255.840813999999</v>
      </c>
      <c r="G39" s="31">
        <v>1.2249339999999999E-2</v>
      </c>
      <c r="H39" s="24" t="s">
        <v>146</v>
      </c>
    </row>
    <row r="40" spans="1:8" x14ac:dyDescent="0.2">
      <c r="A40" s="27">
        <v>34</v>
      </c>
      <c r="B40" s="28" t="s">
        <v>248</v>
      </c>
      <c r="C40" s="28" t="s">
        <v>249</v>
      </c>
      <c r="D40" s="28" t="s">
        <v>223</v>
      </c>
      <c r="E40" s="29">
        <v>1836316</v>
      </c>
      <c r="F40" s="30">
        <v>14157.078202000001</v>
      </c>
      <c r="G40" s="31">
        <v>1.216448E-2</v>
      </c>
      <c r="H40" s="24" t="s">
        <v>146</v>
      </c>
    </row>
    <row r="41" spans="1:8" x14ac:dyDescent="0.2">
      <c r="A41" s="27">
        <v>35</v>
      </c>
      <c r="B41" s="28" t="s">
        <v>102</v>
      </c>
      <c r="C41" s="28" t="s">
        <v>103</v>
      </c>
      <c r="D41" s="28" t="s">
        <v>42</v>
      </c>
      <c r="E41" s="29">
        <v>702668</v>
      </c>
      <c r="F41" s="30">
        <v>13543.574366000001</v>
      </c>
      <c r="G41" s="31">
        <v>1.163733E-2</v>
      </c>
      <c r="H41" s="24" t="s">
        <v>146</v>
      </c>
    </row>
    <row r="42" spans="1:8" x14ac:dyDescent="0.2">
      <c r="A42" s="27">
        <v>36</v>
      </c>
      <c r="B42" s="28" t="s">
        <v>137</v>
      </c>
      <c r="C42" s="28" t="s">
        <v>138</v>
      </c>
      <c r="D42" s="28" t="s">
        <v>139</v>
      </c>
      <c r="E42" s="29">
        <v>1676931</v>
      </c>
      <c r="F42" s="30">
        <v>13273.7473305</v>
      </c>
      <c r="G42" s="31">
        <v>1.1405480000000001E-2</v>
      </c>
      <c r="H42" s="24" t="s">
        <v>146</v>
      </c>
    </row>
    <row r="43" spans="1:8" x14ac:dyDescent="0.2">
      <c r="A43" s="27">
        <v>37</v>
      </c>
      <c r="B43" s="28" t="s">
        <v>250</v>
      </c>
      <c r="C43" s="28" t="s">
        <v>251</v>
      </c>
      <c r="D43" s="28" t="s">
        <v>42</v>
      </c>
      <c r="E43" s="29">
        <v>219441</v>
      </c>
      <c r="F43" s="30">
        <v>13249.737859499999</v>
      </c>
      <c r="G43" s="31">
        <v>1.138485E-2</v>
      </c>
      <c r="H43" s="24" t="s">
        <v>146</v>
      </c>
    </row>
    <row r="44" spans="1:8" x14ac:dyDescent="0.2">
      <c r="A44" s="27">
        <v>38</v>
      </c>
      <c r="B44" s="28" t="s">
        <v>252</v>
      </c>
      <c r="C44" s="28" t="s">
        <v>253</v>
      </c>
      <c r="D44" s="28" t="s">
        <v>195</v>
      </c>
      <c r="E44" s="29">
        <v>159001</v>
      </c>
      <c r="F44" s="30">
        <v>13139.604138500001</v>
      </c>
      <c r="G44" s="31">
        <v>1.129021E-2</v>
      </c>
      <c r="H44" s="24" t="s">
        <v>146</v>
      </c>
    </row>
    <row r="45" spans="1:8" x14ac:dyDescent="0.2">
      <c r="A45" s="27">
        <v>39</v>
      </c>
      <c r="B45" s="28" t="s">
        <v>254</v>
      </c>
      <c r="C45" s="28" t="s">
        <v>255</v>
      </c>
      <c r="D45" s="28" t="s">
        <v>42</v>
      </c>
      <c r="E45" s="29">
        <v>869103</v>
      </c>
      <c r="F45" s="30">
        <v>13099.989519000001</v>
      </c>
      <c r="G45" s="31">
        <v>1.1256179999999999E-2</v>
      </c>
      <c r="H45" s="24" t="s">
        <v>146</v>
      </c>
    </row>
    <row r="46" spans="1:8" ht="25.5" x14ac:dyDescent="0.2">
      <c r="A46" s="27">
        <v>40</v>
      </c>
      <c r="B46" s="28" t="s">
        <v>256</v>
      </c>
      <c r="C46" s="28" t="s">
        <v>257</v>
      </c>
      <c r="D46" s="28" t="s">
        <v>258</v>
      </c>
      <c r="E46" s="29">
        <v>547220</v>
      </c>
      <c r="F46" s="30">
        <v>12726.14832</v>
      </c>
      <c r="G46" s="31">
        <v>1.0934950000000001E-2</v>
      </c>
      <c r="H46" s="24" t="s">
        <v>146</v>
      </c>
    </row>
    <row r="47" spans="1:8" x14ac:dyDescent="0.2">
      <c r="A47" s="27">
        <v>41</v>
      </c>
      <c r="B47" s="28" t="s">
        <v>259</v>
      </c>
      <c r="C47" s="28" t="s">
        <v>260</v>
      </c>
      <c r="D47" s="28" t="s">
        <v>208</v>
      </c>
      <c r="E47" s="29">
        <v>445210</v>
      </c>
      <c r="F47" s="30">
        <v>12702.063905000001</v>
      </c>
      <c r="G47" s="31">
        <v>1.091426E-2</v>
      </c>
      <c r="H47" s="24" t="s">
        <v>146</v>
      </c>
    </row>
    <row r="48" spans="1:8" x14ac:dyDescent="0.2">
      <c r="A48" s="27">
        <v>42</v>
      </c>
      <c r="B48" s="28" t="s">
        <v>261</v>
      </c>
      <c r="C48" s="28" t="s">
        <v>262</v>
      </c>
      <c r="D48" s="28" t="s">
        <v>83</v>
      </c>
      <c r="E48" s="29">
        <v>1010494</v>
      </c>
      <c r="F48" s="30">
        <v>12368.951806999999</v>
      </c>
      <c r="G48" s="31">
        <v>1.062803E-2</v>
      </c>
      <c r="H48" s="24" t="s">
        <v>146</v>
      </c>
    </row>
    <row r="49" spans="1:8" x14ac:dyDescent="0.2">
      <c r="A49" s="27">
        <v>43</v>
      </c>
      <c r="B49" s="28" t="s">
        <v>263</v>
      </c>
      <c r="C49" s="28" t="s">
        <v>264</v>
      </c>
      <c r="D49" s="28" t="s">
        <v>42</v>
      </c>
      <c r="E49" s="29">
        <v>309129</v>
      </c>
      <c r="F49" s="30">
        <v>12268.711751999999</v>
      </c>
      <c r="G49" s="31">
        <v>1.05419E-2</v>
      </c>
      <c r="H49" s="24" t="s">
        <v>146</v>
      </c>
    </row>
    <row r="50" spans="1:8" x14ac:dyDescent="0.2">
      <c r="A50" s="27">
        <v>44</v>
      </c>
      <c r="B50" s="28" t="s">
        <v>265</v>
      </c>
      <c r="C50" s="28" t="s">
        <v>266</v>
      </c>
      <c r="D50" s="28" t="s">
        <v>120</v>
      </c>
      <c r="E50" s="29">
        <v>2006548</v>
      </c>
      <c r="F50" s="30">
        <v>12001.163587999999</v>
      </c>
      <c r="G50" s="31">
        <v>1.031201E-2</v>
      </c>
      <c r="H50" s="24" t="s">
        <v>146</v>
      </c>
    </row>
    <row r="51" spans="1:8" x14ac:dyDescent="0.2">
      <c r="A51" s="27">
        <v>45</v>
      </c>
      <c r="B51" s="28" t="s">
        <v>267</v>
      </c>
      <c r="C51" s="28" t="s">
        <v>268</v>
      </c>
      <c r="D51" s="28" t="s">
        <v>120</v>
      </c>
      <c r="E51" s="29">
        <v>2810274</v>
      </c>
      <c r="F51" s="30">
        <v>11873.407649999999</v>
      </c>
      <c r="G51" s="31">
        <v>1.020223E-2</v>
      </c>
      <c r="H51" s="24" t="s">
        <v>146</v>
      </c>
    </row>
    <row r="52" spans="1:8" x14ac:dyDescent="0.2">
      <c r="A52" s="27">
        <v>46</v>
      </c>
      <c r="B52" s="28" t="s">
        <v>269</v>
      </c>
      <c r="C52" s="28" t="s">
        <v>270</v>
      </c>
      <c r="D52" s="28" t="s">
        <v>120</v>
      </c>
      <c r="E52" s="29">
        <v>2159365</v>
      </c>
      <c r="F52" s="30">
        <v>11741.5471875</v>
      </c>
      <c r="G52" s="31">
        <v>1.0088929999999999E-2</v>
      </c>
      <c r="H52" s="24" t="s">
        <v>146</v>
      </c>
    </row>
    <row r="53" spans="1:8" x14ac:dyDescent="0.2">
      <c r="A53" s="27">
        <v>47</v>
      </c>
      <c r="B53" s="28" t="s">
        <v>271</v>
      </c>
      <c r="C53" s="28" t="s">
        <v>272</v>
      </c>
      <c r="D53" s="28" t="s">
        <v>83</v>
      </c>
      <c r="E53" s="29">
        <v>1235031</v>
      </c>
      <c r="F53" s="30">
        <v>11678.453136</v>
      </c>
      <c r="G53" s="31">
        <v>1.003472E-2</v>
      </c>
      <c r="H53" s="24" t="s">
        <v>146</v>
      </c>
    </row>
    <row r="54" spans="1:8" x14ac:dyDescent="0.2">
      <c r="A54" s="27">
        <v>48</v>
      </c>
      <c r="B54" s="28" t="s">
        <v>273</v>
      </c>
      <c r="C54" s="28" t="s">
        <v>274</v>
      </c>
      <c r="D54" s="28" t="s">
        <v>275</v>
      </c>
      <c r="E54" s="29">
        <v>465740</v>
      </c>
      <c r="F54" s="30">
        <v>11447.42346</v>
      </c>
      <c r="G54" s="31">
        <v>9.8362099999999997E-3</v>
      </c>
      <c r="H54" s="24" t="s">
        <v>146</v>
      </c>
    </row>
    <row r="55" spans="1:8" x14ac:dyDescent="0.2">
      <c r="A55" s="27">
        <v>49</v>
      </c>
      <c r="B55" s="28" t="s">
        <v>276</v>
      </c>
      <c r="C55" s="28" t="s">
        <v>277</v>
      </c>
      <c r="D55" s="28" t="s">
        <v>47</v>
      </c>
      <c r="E55" s="29">
        <v>839322</v>
      </c>
      <c r="F55" s="30">
        <v>11410.58259</v>
      </c>
      <c r="G55" s="31">
        <v>9.8045500000000004E-3</v>
      </c>
      <c r="H55" s="24" t="s">
        <v>146</v>
      </c>
    </row>
    <row r="56" spans="1:8" x14ac:dyDescent="0.2">
      <c r="A56" s="27">
        <v>50</v>
      </c>
      <c r="B56" s="28" t="s">
        <v>278</v>
      </c>
      <c r="C56" s="28" t="s">
        <v>279</v>
      </c>
      <c r="D56" s="28" t="s">
        <v>280</v>
      </c>
      <c r="E56" s="29">
        <v>1827607</v>
      </c>
      <c r="F56" s="30">
        <v>11258.05912</v>
      </c>
      <c r="G56" s="31">
        <v>9.6734999999999998E-3</v>
      </c>
      <c r="H56" s="24" t="s">
        <v>146</v>
      </c>
    </row>
    <row r="57" spans="1:8" x14ac:dyDescent="0.2">
      <c r="A57" s="27">
        <v>51</v>
      </c>
      <c r="B57" s="28" t="s">
        <v>281</v>
      </c>
      <c r="C57" s="28" t="s">
        <v>282</v>
      </c>
      <c r="D57" s="28" t="s">
        <v>83</v>
      </c>
      <c r="E57" s="29">
        <v>99719</v>
      </c>
      <c r="F57" s="30">
        <v>11002.99446</v>
      </c>
      <c r="G57" s="31">
        <v>9.4543300000000004E-3</v>
      </c>
      <c r="H57" s="24" t="s">
        <v>146</v>
      </c>
    </row>
    <row r="58" spans="1:8" x14ac:dyDescent="0.2">
      <c r="A58" s="27">
        <v>52</v>
      </c>
      <c r="B58" s="28" t="s">
        <v>114</v>
      </c>
      <c r="C58" s="28" t="s">
        <v>115</v>
      </c>
      <c r="D58" s="28" t="s">
        <v>83</v>
      </c>
      <c r="E58" s="29">
        <v>314841</v>
      </c>
      <c r="F58" s="30">
        <v>10785.822978</v>
      </c>
      <c r="G58" s="31">
        <v>9.2677300000000001E-3</v>
      </c>
      <c r="H58" s="24" t="s">
        <v>146</v>
      </c>
    </row>
    <row r="59" spans="1:8" x14ac:dyDescent="0.2">
      <c r="A59" s="27">
        <v>53</v>
      </c>
      <c r="B59" s="28" t="s">
        <v>283</v>
      </c>
      <c r="C59" s="28" t="s">
        <v>284</v>
      </c>
      <c r="D59" s="28" t="s">
        <v>83</v>
      </c>
      <c r="E59" s="29">
        <v>301841</v>
      </c>
      <c r="F59" s="30">
        <v>10027.459860999999</v>
      </c>
      <c r="G59" s="31">
        <v>8.6160999999999998E-3</v>
      </c>
      <c r="H59" s="24" t="s">
        <v>146</v>
      </c>
    </row>
    <row r="60" spans="1:8" ht="25.5" x14ac:dyDescent="0.2">
      <c r="A60" s="27">
        <v>54</v>
      </c>
      <c r="B60" s="28" t="s">
        <v>285</v>
      </c>
      <c r="C60" s="28" t="s">
        <v>286</v>
      </c>
      <c r="D60" s="28" t="s">
        <v>190</v>
      </c>
      <c r="E60" s="29">
        <v>286477</v>
      </c>
      <c r="F60" s="30">
        <v>9980.1424874999993</v>
      </c>
      <c r="G60" s="31">
        <v>8.5754500000000001E-3</v>
      </c>
      <c r="H60" s="24" t="s">
        <v>146</v>
      </c>
    </row>
    <row r="61" spans="1:8" x14ac:dyDescent="0.2">
      <c r="A61" s="27">
        <v>55</v>
      </c>
      <c r="B61" s="28" t="s">
        <v>287</v>
      </c>
      <c r="C61" s="28" t="s">
        <v>288</v>
      </c>
      <c r="D61" s="28" t="s">
        <v>233</v>
      </c>
      <c r="E61" s="29">
        <v>275075</v>
      </c>
      <c r="F61" s="30">
        <v>9912.3276249999999</v>
      </c>
      <c r="G61" s="31">
        <v>8.5171799999999992E-3</v>
      </c>
      <c r="H61" s="24" t="s">
        <v>146</v>
      </c>
    </row>
    <row r="62" spans="1:8" x14ac:dyDescent="0.2">
      <c r="A62" s="27">
        <v>56</v>
      </c>
      <c r="B62" s="28" t="s">
        <v>108</v>
      </c>
      <c r="C62" s="28" t="s">
        <v>109</v>
      </c>
      <c r="D62" s="28" t="s">
        <v>42</v>
      </c>
      <c r="E62" s="29">
        <v>624344</v>
      </c>
      <c r="F62" s="30">
        <v>9424.7848520000007</v>
      </c>
      <c r="G62" s="31">
        <v>8.0982499999999995E-3</v>
      </c>
      <c r="H62" s="24" t="s">
        <v>146</v>
      </c>
    </row>
    <row r="63" spans="1:8" x14ac:dyDescent="0.2">
      <c r="A63" s="27">
        <v>57</v>
      </c>
      <c r="B63" s="28" t="s">
        <v>289</v>
      </c>
      <c r="C63" s="28" t="s">
        <v>290</v>
      </c>
      <c r="D63" s="28" t="s">
        <v>223</v>
      </c>
      <c r="E63" s="29">
        <v>5326108</v>
      </c>
      <c r="F63" s="30">
        <v>8982.4811420000005</v>
      </c>
      <c r="G63" s="31">
        <v>7.7181999999999997E-3</v>
      </c>
      <c r="H63" s="24" t="s">
        <v>146</v>
      </c>
    </row>
    <row r="64" spans="1:8" x14ac:dyDescent="0.2">
      <c r="A64" s="27">
        <v>58</v>
      </c>
      <c r="B64" s="28" t="s">
        <v>291</v>
      </c>
      <c r="C64" s="28" t="s">
        <v>292</v>
      </c>
      <c r="D64" s="28" t="s">
        <v>280</v>
      </c>
      <c r="E64" s="29">
        <v>782298</v>
      </c>
      <c r="F64" s="30">
        <v>8728.4899349999996</v>
      </c>
      <c r="G64" s="31">
        <v>7.49996E-3</v>
      </c>
      <c r="H64" s="24" t="s">
        <v>146</v>
      </c>
    </row>
    <row r="65" spans="1:8" ht="25.5" x14ac:dyDescent="0.2">
      <c r="A65" s="27">
        <v>59</v>
      </c>
      <c r="B65" s="28" t="s">
        <v>293</v>
      </c>
      <c r="C65" s="28" t="s">
        <v>294</v>
      </c>
      <c r="D65" s="28" t="s">
        <v>198</v>
      </c>
      <c r="E65" s="29">
        <v>356799</v>
      </c>
      <c r="F65" s="30">
        <v>8689.4828460000008</v>
      </c>
      <c r="G65" s="31">
        <v>7.4664400000000004E-3</v>
      </c>
      <c r="H65" s="24" t="s">
        <v>146</v>
      </c>
    </row>
    <row r="66" spans="1:8" x14ac:dyDescent="0.2">
      <c r="A66" s="27">
        <v>60</v>
      </c>
      <c r="B66" s="28" t="s">
        <v>131</v>
      </c>
      <c r="C66" s="28" t="s">
        <v>132</v>
      </c>
      <c r="D66" s="28" t="s">
        <v>36</v>
      </c>
      <c r="E66" s="29">
        <v>4000000</v>
      </c>
      <c r="F66" s="30">
        <v>8323.6</v>
      </c>
      <c r="G66" s="31">
        <v>7.15206E-3</v>
      </c>
      <c r="H66" s="24" t="s">
        <v>146</v>
      </c>
    </row>
    <row r="67" spans="1:8" x14ac:dyDescent="0.2">
      <c r="A67" s="27">
        <v>61</v>
      </c>
      <c r="B67" s="28" t="s">
        <v>295</v>
      </c>
      <c r="C67" s="28" t="s">
        <v>296</v>
      </c>
      <c r="D67" s="28" t="s">
        <v>99</v>
      </c>
      <c r="E67" s="29">
        <v>2397401</v>
      </c>
      <c r="F67" s="30">
        <v>8287.8152570000002</v>
      </c>
      <c r="G67" s="31">
        <v>7.1213099999999996E-3</v>
      </c>
      <c r="H67" s="24" t="s">
        <v>146</v>
      </c>
    </row>
    <row r="68" spans="1:8" x14ac:dyDescent="0.2">
      <c r="A68" s="27">
        <v>62</v>
      </c>
      <c r="B68" s="28" t="s">
        <v>129</v>
      </c>
      <c r="C68" s="28" t="s">
        <v>130</v>
      </c>
      <c r="D68" s="28" t="s">
        <v>80</v>
      </c>
      <c r="E68" s="29">
        <v>1018061</v>
      </c>
      <c r="F68" s="30">
        <v>7941.8938609999996</v>
      </c>
      <c r="G68" s="31">
        <v>6.8240799999999997E-3</v>
      </c>
      <c r="H68" s="24" t="s">
        <v>146</v>
      </c>
    </row>
    <row r="69" spans="1:8" x14ac:dyDescent="0.2">
      <c r="A69" s="27">
        <v>63</v>
      </c>
      <c r="B69" s="28" t="s">
        <v>37</v>
      </c>
      <c r="C69" s="28" t="s">
        <v>38</v>
      </c>
      <c r="D69" s="28" t="s">
        <v>39</v>
      </c>
      <c r="E69" s="29">
        <v>116291</v>
      </c>
      <c r="F69" s="30">
        <v>7561.0082380000003</v>
      </c>
      <c r="G69" s="31">
        <v>6.4967999999999996E-3</v>
      </c>
      <c r="H69" s="24" t="s">
        <v>146</v>
      </c>
    </row>
    <row r="70" spans="1:8" x14ac:dyDescent="0.2">
      <c r="A70" s="27">
        <v>64</v>
      </c>
      <c r="B70" s="28" t="s">
        <v>297</v>
      </c>
      <c r="C70" s="28" t="s">
        <v>298</v>
      </c>
      <c r="D70" s="28" t="s">
        <v>83</v>
      </c>
      <c r="E70" s="29">
        <v>1469326</v>
      </c>
      <c r="F70" s="30">
        <v>7409.8110180000003</v>
      </c>
      <c r="G70" s="31">
        <v>6.36689E-3</v>
      </c>
      <c r="H70" s="24" t="s">
        <v>146</v>
      </c>
    </row>
    <row r="71" spans="1:8" x14ac:dyDescent="0.2">
      <c r="A71" s="27">
        <v>65</v>
      </c>
      <c r="B71" s="28" t="s">
        <v>299</v>
      </c>
      <c r="C71" s="28" t="s">
        <v>300</v>
      </c>
      <c r="D71" s="28" t="s">
        <v>275</v>
      </c>
      <c r="E71" s="29">
        <v>9518370</v>
      </c>
      <c r="F71" s="30">
        <v>7119.7407599999997</v>
      </c>
      <c r="G71" s="31">
        <v>6.1176399999999997E-3</v>
      </c>
      <c r="H71" s="24" t="s">
        <v>146</v>
      </c>
    </row>
    <row r="72" spans="1:8" ht="25.5" x14ac:dyDescent="0.2">
      <c r="A72" s="27">
        <v>66</v>
      </c>
      <c r="B72" s="28" t="s">
        <v>301</v>
      </c>
      <c r="C72" s="28" t="s">
        <v>302</v>
      </c>
      <c r="D72" s="28" t="s">
        <v>258</v>
      </c>
      <c r="E72" s="29">
        <v>150688</v>
      </c>
      <c r="F72" s="30">
        <v>6251.5930559999997</v>
      </c>
      <c r="G72" s="31">
        <v>5.3716900000000001E-3</v>
      </c>
      <c r="H72" s="24" t="s">
        <v>146</v>
      </c>
    </row>
    <row r="73" spans="1:8" x14ac:dyDescent="0.2">
      <c r="A73" s="27">
        <v>67</v>
      </c>
      <c r="B73" s="28" t="s">
        <v>303</v>
      </c>
      <c r="C73" s="28" t="s">
        <v>304</v>
      </c>
      <c r="D73" s="28" t="s">
        <v>195</v>
      </c>
      <c r="E73" s="29">
        <v>90217</v>
      </c>
      <c r="F73" s="30">
        <v>5716.14912</v>
      </c>
      <c r="G73" s="31">
        <v>4.9116100000000003E-3</v>
      </c>
      <c r="H73" s="24" t="s">
        <v>146</v>
      </c>
    </row>
    <row r="74" spans="1:8" x14ac:dyDescent="0.2">
      <c r="A74" s="27">
        <v>68</v>
      </c>
      <c r="B74" s="28" t="s">
        <v>305</v>
      </c>
      <c r="C74" s="28" t="s">
        <v>306</v>
      </c>
      <c r="D74" s="28" t="s">
        <v>39</v>
      </c>
      <c r="E74" s="29">
        <v>436210</v>
      </c>
      <c r="F74" s="30">
        <v>5499.9537849999997</v>
      </c>
      <c r="G74" s="31">
        <v>4.7258400000000002E-3</v>
      </c>
      <c r="H74" s="24" t="s">
        <v>146</v>
      </c>
    </row>
    <row r="75" spans="1:8" x14ac:dyDescent="0.2">
      <c r="A75" s="27">
        <v>69</v>
      </c>
      <c r="B75" s="28" t="s">
        <v>307</v>
      </c>
      <c r="C75" s="28" t="s">
        <v>308</v>
      </c>
      <c r="D75" s="28" t="s">
        <v>120</v>
      </c>
      <c r="E75" s="29">
        <v>275000</v>
      </c>
      <c r="F75" s="30">
        <v>4710.2</v>
      </c>
      <c r="G75" s="31">
        <v>4.0472399999999997E-3</v>
      </c>
      <c r="H75" s="24" t="s">
        <v>146</v>
      </c>
    </row>
    <row r="76" spans="1:8" x14ac:dyDescent="0.2">
      <c r="A76" s="27">
        <v>70</v>
      </c>
      <c r="B76" s="28" t="s">
        <v>309</v>
      </c>
      <c r="C76" s="28" t="s">
        <v>310</v>
      </c>
      <c r="D76" s="28" t="s">
        <v>223</v>
      </c>
      <c r="E76" s="29">
        <v>604722</v>
      </c>
      <c r="F76" s="30">
        <v>4624.3091340000001</v>
      </c>
      <c r="G76" s="31">
        <v>3.97344E-3</v>
      </c>
      <c r="H76" s="24" t="s">
        <v>146</v>
      </c>
    </row>
    <row r="77" spans="1:8" x14ac:dyDescent="0.2">
      <c r="A77" s="27">
        <v>71</v>
      </c>
      <c r="B77" s="28" t="s">
        <v>63</v>
      </c>
      <c r="C77" s="28" t="s">
        <v>64</v>
      </c>
      <c r="D77" s="28" t="s">
        <v>19</v>
      </c>
      <c r="E77" s="29">
        <v>328662</v>
      </c>
      <c r="F77" s="30">
        <v>4453.0414380000002</v>
      </c>
      <c r="G77" s="31">
        <v>3.82628E-3</v>
      </c>
      <c r="H77" s="24" t="s">
        <v>146</v>
      </c>
    </row>
    <row r="78" spans="1:8" ht="25.5" x14ac:dyDescent="0.2">
      <c r="A78" s="27">
        <v>72</v>
      </c>
      <c r="B78" s="28" t="s">
        <v>311</v>
      </c>
      <c r="C78" s="28" t="s">
        <v>312</v>
      </c>
      <c r="D78" s="28" t="s">
        <v>198</v>
      </c>
      <c r="E78" s="29">
        <v>1004088</v>
      </c>
      <c r="F78" s="30">
        <v>3640.3210439999998</v>
      </c>
      <c r="G78" s="31">
        <v>3.12795E-3</v>
      </c>
      <c r="H78" s="24" t="s">
        <v>146</v>
      </c>
    </row>
    <row r="79" spans="1:8" x14ac:dyDescent="0.2">
      <c r="A79" s="27">
        <v>73</v>
      </c>
      <c r="B79" s="28" t="s">
        <v>313</v>
      </c>
      <c r="C79" s="28" t="s">
        <v>314</v>
      </c>
      <c r="D79" s="28" t="s">
        <v>47</v>
      </c>
      <c r="E79" s="29">
        <v>199109</v>
      </c>
      <c r="F79" s="30">
        <v>3268.9715620000002</v>
      </c>
      <c r="G79" s="31">
        <v>2.8088700000000002E-3</v>
      </c>
      <c r="H79" s="24" t="s">
        <v>146</v>
      </c>
    </row>
    <row r="80" spans="1:8" x14ac:dyDescent="0.2">
      <c r="A80" s="27">
        <v>74</v>
      </c>
      <c r="B80" s="28" t="s">
        <v>112</v>
      </c>
      <c r="C80" s="28" t="s">
        <v>113</v>
      </c>
      <c r="D80" s="28" t="s">
        <v>36</v>
      </c>
      <c r="E80" s="29">
        <v>5393738</v>
      </c>
      <c r="F80" s="30">
        <v>3137.5373946</v>
      </c>
      <c r="G80" s="31">
        <v>2.69593E-3</v>
      </c>
      <c r="H80" s="24" t="s">
        <v>146</v>
      </c>
    </row>
    <row r="81" spans="1:8" x14ac:dyDescent="0.2">
      <c r="A81" s="27">
        <v>75</v>
      </c>
      <c r="B81" s="28" t="s">
        <v>315</v>
      </c>
      <c r="C81" s="28" t="s">
        <v>316</v>
      </c>
      <c r="D81" s="28" t="s">
        <v>39</v>
      </c>
      <c r="E81" s="29">
        <v>287562</v>
      </c>
      <c r="F81" s="30">
        <v>2850.8896679999998</v>
      </c>
      <c r="G81" s="31">
        <v>2.4496299999999999E-3</v>
      </c>
      <c r="H81" s="24" t="s">
        <v>146</v>
      </c>
    </row>
    <row r="82" spans="1:8" x14ac:dyDescent="0.2">
      <c r="A82" s="27">
        <v>76</v>
      </c>
      <c r="B82" s="28" t="s">
        <v>317</v>
      </c>
      <c r="C82" s="28" t="s">
        <v>318</v>
      </c>
      <c r="D82" s="28" t="s">
        <v>120</v>
      </c>
      <c r="E82" s="29">
        <v>168892</v>
      </c>
      <c r="F82" s="30">
        <v>2565.1316959999999</v>
      </c>
      <c r="G82" s="31">
        <v>2.2040900000000001E-3</v>
      </c>
      <c r="H82" s="24" t="s">
        <v>146</v>
      </c>
    </row>
    <row r="83" spans="1:8" x14ac:dyDescent="0.2">
      <c r="A83" s="27">
        <v>77</v>
      </c>
      <c r="B83" s="28" t="s">
        <v>319</v>
      </c>
      <c r="C83" s="28" t="s">
        <v>320</v>
      </c>
      <c r="D83" s="28" t="s">
        <v>99</v>
      </c>
      <c r="E83" s="29">
        <v>321233</v>
      </c>
      <c r="F83" s="30">
        <v>1561.19238</v>
      </c>
      <c r="G83" s="31">
        <v>1.34146E-3</v>
      </c>
      <c r="H83" s="24" t="s">
        <v>146</v>
      </c>
    </row>
    <row r="84" spans="1:8" x14ac:dyDescent="0.2">
      <c r="A84" s="27">
        <v>78</v>
      </c>
      <c r="B84" s="28" t="s">
        <v>321</v>
      </c>
      <c r="C84" s="28" t="s">
        <v>322</v>
      </c>
      <c r="D84" s="28" t="s">
        <v>39</v>
      </c>
      <c r="E84" s="29">
        <v>6867</v>
      </c>
      <c r="F84" s="30">
        <v>1029.0851865</v>
      </c>
      <c r="G84" s="31">
        <v>8.8424E-4</v>
      </c>
      <c r="H84" s="24" t="s">
        <v>146</v>
      </c>
    </row>
    <row r="85" spans="1:8" x14ac:dyDescent="0.2">
      <c r="A85" s="27">
        <v>79</v>
      </c>
      <c r="B85" s="28" t="s">
        <v>323</v>
      </c>
      <c r="C85" s="28" t="s">
        <v>324</v>
      </c>
      <c r="D85" s="28" t="s">
        <v>39</v>
      </c>
      <c r="E85" s="29">
        <v>32425</v>
      </c>
      <c r="F85" s="30">
        <v>75.582674999999995</v>
      </c>
      <c r="G85" s="31">
        <v>6.4939999999999998E-5</v>
      </c>
      <c r="H85" s="24" t="s">
        <v>146</v>
      </c>
    </row>
    <row r="86" spans="1:8" x14ac:dyDescent="0.2">
      <c r="A86" s="25"/>
      <c r="B86" s="25"/>
      <c r="C86" s="26" t="s">
        <v>145</v>
      </c>
      <c r="D86" s="25"/>
      <c r="E86" s="25" t="s">
        <v>146</v>
      </c>
      <c r="F86" s="32">
        <v>1101348.4535308001</v>
      </c>
      <c r="G86" s="33">
        <v>0.94633445999999999</v>
      </c>
      <c r="H86" s="24" t="s">
        <v>146</v>
      </c>
    </row>
    <row r="87" spans="1:8" x14ac:dyDescent="0.2">
      <c r="A87" s="25"/>
      <c r="B87" s="25"/>
      <c r="C87" s="34"/>
      <c r="D87" s="25"/>
      <c r="E87" s="25"/>
      <c r="F87" s="35"/>
      <c r="G87" s="35"/>
      <c r="H87" s="24" t="s">
        <v>146</v>
      </c>
    </row>
    <row r="88" spans="1:8" x14ac:dyDescent="0.2">
      <c r="A88" s="25"/>
      <c r="B88" s="25"/>
      <c r="C88" s="26" t="s">
        <v>147</v>
      </c>
      <c r="D88" s="25"/>
      <c r="E88" s="25"/>
      <c r="F88" s="25"/>
      <c r="G88" s="25"/>
      <c r="H88" s="24" t="s">
        <v>146</v>
      </c>
    </row>
    <row r="89" spans="1:8" x14ac:dyDescent="0.2">
      <c r="A89" s="25"/>
      <c r="B89" s="25"/>
      <c r="C89" s="26" t="s">
        <v>145</v>
      </c>
      <c r="D89" s="25"/>
      <c r="E89" s="25" t="s">
        <v>146</v>
      </c>
      <c r="F89" s="36" t="s">
        <v>148</v>
      </c>
      <c r="G89" s="33">
        <v>0</v>
      </c>
      <c r="H89" s="24" t="s">
        <v>146</v>
      </c>
    </row>
    <row r="90" spans="1:8" x14ac:dyDescent="0.2">
      <c r="A90" s="25"/>
      <c r="B90" s="25"/>
      <c r="C90" s="34"/>
      <c r="D90" s="25"/>
      <c r="E90" s="25"/>
      <c r="F90" s="35"/>
      <c r="G90" s="35"/>
      <c r="H90" s="24" t="s">
        <v>146</v>
      </c>
    </row>
    <row r="91" spans="1:8" x14ac:dyDescent="0.2">
      <c r="A91" s="25"/>
      <c r="B91" s="25"/>
      <c r="C91" s="26" t="s">
        <v>149</v>
      </c>
      <c r="D91" s="25"/>
      <c r="E91" s="25"/>
      <c r="F91" s="25"/>
      <c r="G91" s="25"/>
      <c r="H91" s="24" t="s">
        <v>146</v>
      </c>
    </row>
    <row r="92" spans="1:8" x14ac:dyDescent="0.2">
      <c r="A92" s="25"/>
      <c r="B92" s="25"/>
      <c r="C92" s="26" t="s">
        <v>145</v>
      </c>
      <c r="D92" s="25"/>
      <c r="E92" s="25" t="s">
        <v>146</v>
      </c>
      <c r="F92" s="36" t="s">
        <v>148</v>
      </c>
      <c r="G92" s="33">
        <v>0</v>
      </c>
      <c r="H92" s="24" t="s">
        <v>146</v>
      </c>
    </row>
    <row r="93" spans="1:8" x14ac:dyDescent="0.2">
      <c r="A93" s="25"/>
      <c r="B93" s="25"/>
      <c r="C93" s="34"/>
      <c r="D93" s="25"/>
      <c r="E93" s="25"/>
      <c r="F93" s="35"/>
      <c r="G93" s="35"/>
      <c r="H93" s="24" t="s">
        <v>146</v>
      </c>
    </row>
    <row r="94" spans="1:8" x14ac:dyDescent="0.2">
      <c r="A94" s="25"/>
      <c r="B94" s="25"/>
      <c r="C94" s="26" t="s">
        <v>150</v>
      </c>
      <c r="D94" s="25"/>
      <c r="E94" s="25"/>
      <c r="F94" s="25"/>
      <c r="G94" s="25"/>
      <c r="H94" s="24" t="s">
        <v>146</v>
      </c>
    </row>
    <row r="95" spans="1:8" x14ac:dyDescent="0.2">
      <c r="A95" s="25"/>
      <c r="B95" s="25"/>
      <c r="C95" s="26" t="s">
        <v>145</v>
      </c>
      <c r="D95" s="25"/>
      <c r="E95" s="25" t="s">
        <v>146</v>
      </c>
      <c r="F95" s="36" t="s">
        <v>148</v>
      </c>
      <c r="G95" s="33">
        <v>0</v>
      </c>
      <c r="H95" s="24" t="s">
        <v>146</v>
      </c>
    </row>
    <row r="96" spans="1:8" x14ac:dyDescent="0.2">
      <c r="A96" s="25"/>
      <c r="B96" s="25"/>
      <c r="C96" s="34"/>
      <c r="D96" s="25"/>
      <c r="E96" s="25"/>
      <c r="F96" s="35"/>
      <c r="G96" s="35"/>
      <c r="H96" s="24" t="s">
        <v>146</v>
      </c>
    </row>
    <row r="97" spans="1:8" x14ac:dyDescent="0.2">
      <c r="A97" s="25"/>
      <c r="B97" s="25"/>
      <c r="C97" s="26" t="s">
        <v>151</v>
      </c>
      <c r="D97" s="25"/>
      <c r="E97" s="25"/>
      <c r="F97" s="35"/>
      <c r="G97" s="35"/>
      <c r="H97" s="24" t="s">
        <v>146</v>
      </c>
    </row>
    <row r="98" spans="1:8" x14ac:dyDescent="0.2">
      <c r="A98" s="25"/>
      <c r="B98" s="25"/>
      <c r="C98" s="26" t="s">
        <v>145</v>
      </c>
      <c r="D98" s="25"/>
      <c r="E98" s="25" t="s">
        <v>146</v>
      </c>
      <c r="F98" s="36" t="s">
        <v>148</v>
      </c>
      <c r="G98" s="33">
        <v>0</v>
      </c>
      <c r="H98" s="24" t="s">
        <v>146</v>
      </c>
    </row>
    <row r="99" spans="1:8" x14ac:dyDescent="0.2">
      <c r="A99" s="25"/>
      <c r="B99" s="25"/>
      <c r="C99" s="34"/>
      <c r="D99" s="25"/>
      <c r="E99" s="25"/>
      <c r="F99" s="35"/>
      <c r="G99" s="35"/>
      <c r="H99" s="24" t="s">
        <v>146</v>
      </c>
    </row>
    <row r="100" spans="1:8" x14ac:dyDescent="0.2">
      <c r="A100" s="25"/>
      <c r="B100" s="25"/>
      <c r="C100" s="26" t="s">
        <v>152</v>
      </c>
      <c r="D100" s="25"/>
      <c r="E100" s="25"/>
      <c r="F100" s="35"/>
      <c r="G100" s="35"/>
      <c r="H100" s="24" t="s">
        <v>146</v>
      </c>
    </row>
    <row r="101" spans="1:8" x14ac:dyDescent="0.2">
      <c r="A101" s="25"/>
      <c r="B101" s="25"/>
      <c r="C101" s="26" t="s">
        <v>145</v>
      </c>
      <c r="D101" s="25"/>
      <c r="E101" s="25" t="s">
        <v>146</v>
      </c>
      <c r="F101" s="36" t="s">
        <v>148</v>
      </c>
      <c r="G101" s="33">
        <v>0</v>
      </c>
      <c r="H101" s="24" t="s">
        <v>146</v>
      </c>
    </row>
    <row r="102" spans="1:8" x14ac:dyDescent="0.2">
      <c r="A102" s="25"/>
      <c r="B102" s="25"/>
      <c r="C102" s="34"/>
      <c r="D102" s="25"/>
      <c r="E102" s="25"/>
      <c r="F102" s="35"/>
      <c r="G102" s="35"/>
      <c r="H102" s="24" t="s">
        <v>146</v>
      </c>
    </row>
    <row r="103" spans="1:8" x14ac:dyDescent="0.2">
      <c r="A103" s="25"/>
      <c r="B103" s="25"/>
      <c r="C103" s="26" t="s">
        <v>153</v>
      </c>
      <c r="D103" s="25"/>
      <c r="E103" s="25"/>
      <c r="F103" s="32">
        <v>1101348.4535308001</v>
      </c>
      <c r="G103" s="33">
        <v>0.94633445999999999</v>
      </c>
      <c r="H103" s="24" t="s">
        <v>146</v>
      </c>
    </row>
    <row r="104" spans="1:8" x14ac:dyDescent="0.2">
      <c r="A104" s="25"/>
      <c r="B104" s="25"/>
      <c r="C104" s="34"/>
      <c r="D104" s="25"/>
      <c r="E104" s="25"/>
      <c r="F104" s="35"/>
      <c r="G104" s="35"/>
      <c r="H104" s="24" t="s">
        <v>146</v>
      </c>
    </row>
    <row r="105" spans="1:8" x14ac:dyDescent="0.2">
      <c r="A105" s="25"/>
      <c r="B105" s="25"/>
      <c r="C105" s="26" t="s">
        <v>154</v>
      </c>
      <c r="D105" s="25"/>
      <c r="E105" s="25"/>
      <c r="F105" s="35"/>
      <c r="G105" s="35"/>
      <c r="H105" s="24" t="s">
        <v>146</v>
      </c>
    </row>
    <row r="106" spans="1:8" x14ac:dyDescent="0.2">
      <c r="A106" s="25"/>
      <c r="B106" s="25"/>
      <c r="C106" s="26" t="s">
        <v>10</v>
      </c>
      <c r="D106" s="25"/>
      <c r="E106" s="25"/>
      <c r="F106" s="35"/>
      <c r="G106" s="35"/>
      <c r="H106" s="24" t="s">
        <v>146</v>
      </c>
    </row>
    <row r="107" spans="1:8" x14ac:dyDescent="0.2">
      <c r="A107" s="25"/>
      <c r="B107" s="25"/>
      <c r="C107" s="26" t="s">
        <v>145</v>
      </c>
      <c r="D107" s="25"/>
      <c r="E107" s="25" t="s">
        <v>146</v>
      </c>
      <c r="F107" s="36" t="s">
        <v>148</v>
      </c>
      <c r="G107" s="33">
        <v>0</v>
      </c>
      <c r="H107" s="24" t="s">
        <v>146</v>
      </c>
    </row>
    <row r="108" spans="1:8" x14ac:dyDescent="0.2">
      <c r="A108" s="25"/>
      <c r="B108" s="25"/>
      <c r="C108" s="34"/>
      <c r="D108" s="25"/>
      <c r="E108" s="25"/>
      <c r="F108" s="35"/>
      <c r="G108" s="35"/>
      <c r="H108" s="24" t="s">
        <v>146</v>
      </c>
    </row>
    <row r="109" spans="1:8" x14ac:dyDescent="0.2">
      <c r="A109" s="25"/>
      <c r="B109" s="25"/>
      <c r="C109" s="26" t="s">
        <v>155</v>
      </c>
      <c r="D109" s="25"/>
      <c r="E109" s="25"/>
      <c r="F109" s="25"/>
      <c r="G109" s="25"/>
      <c r="H109" s="24" t="s">
        <v>146</v>
      </c>
    </row>
    <row r="110" spans="1:8" x14ac:dyDescent="0.2">
      <c r="A110" s="25"/>
      <c r="B110" s="25"/>
      <c r="C110" s="26" t="s">
        <v>145</v>
      </c>
      <c r="D110" s="25"/>
      <c r="E110" s="25" t="s">
        <v>146</v>
      </c>
      <c r="F110" s="36" t="s">
        <v>148</v>
      </c>
      <c r="G110" s="33">
        <v>0</v>
      </c>
      <c r="H110" s="24" t="s">
        <v>146</v>
      </c>
    </row>
    <row r="111" spans="1:8" x14ac:dyDescent="0.2">
      <c r="A111" s="25"/>
      <c r="B111" s="25"/>
      <c r="C111" s="34"/>
      <c r="D111" s="25"/>
      <c r="E111" s="25"/>
      <c r="F111" s="35"/>
      <c r="G111" s="35"/>
      <c r="H111" s="24" t="s">
        <v>146</v>
      </c>
    </row>
    <row r="112" spans="1:8" x14ac:dyDescent="0.2">
      <c r="A112" s="25"/>
      <c r="B112" s="25"/>
      <c r="C112" s="26" t="s">
        <v>156</v>
      </c>
      <c r="D112" s="25"/>
      <c r="E112" s="25"/>
      <c r="F112" s="25"/>
      <c r="G112" s="25"/>
      <c r="H112" s="24" t="s">
        <v>146</v>
      </c>
    </row>
    <row r="113" spans="1:8" x14ac:dyDescent="0.2">
      <c r="A113" s="25"/>
      <c r="B113" s="25"/>
      <c r="C113" s="26" t="s">
        <v>145</v>
      </c>
      <c r="D113" s="25"/>
      <c r="E113" s="25" t="s">
        <v>146</v>
      </c>
      <c r="F113" s="36" t="s">
        <v>148</v>
      </c>
      <c r="G113" s="33">
        <v>0</v>
      </c>
      <c r="H113" s="24" t="s">
        <v>146</v>
      </c>
    </row>
    <row r="114" spans="1:8" x14ac:dyDescent="0.2">
      <c r="A114" s="25"/>
      <c r="B114" s="25"/>
      <c r="C114" s="34"/>
      <c r="D114" s="25"/>
      <c r="E114" s="25"/>
      <c r="F114" s="35"/>
      <c r="G114" s="35"/>
      <c r="H114" s="24" t="s">
        <v>146</v>
      </c>
    </row>
    <row r="115" spans="1:8" x14ac:dyDescent="0.2">
      <c r="A115" s="25"/>
      <c r="B115" s="25"/>
      <c r="C115" s="26" t="s">
        <v>157</v>
      </c>
      <c r="D115" s="25"/>
      <c r="E115" s="25"/>
      <c r="F115" s="35"/>
      <c r="G115" s="35"/>
      <c r="H115" s="24" t="s">
        <v>146</v>
      </c>
    </row>
    <row r="116" spans="1:8" x14ac:dyDescent="0.2">
      <c r="A116" s="25"/>
      <c r="B116" s="25"/>
      <c r="C116" s="26" t="s">
        <v>145</v>
      </c>
      <c r="D116" s="25"/>
      <c r="E116" s="25" t="s">
        <v>146</v>
      </c>
      <c r="F116" s="36" t="s">
        <v>148</v>
      </c>
      <c r="G116" s="33">
        <v>0</v>
      </c>
      <c r="H116" s="24" t="s">
        <v>146</v>
      </c>
    </row>
    <row r="117" spans="1:8" x14ac:dyDescent="0.2">
      <c r="A117" s="25"/>
      <c r="B117" s="25"/>
      <c r="C117" s="34"/>
      <c r="D117" s="25"/>
      <c r="E117" s="25"/>
      <c r="F117" s="35"/>
      <c r="G117" s="35"/>
      <c r="H117" s="24" t="s">
        <v>146</v>
      </c>
    </row>
    <row r="118" spans="1:8" x14ac:dyDescent="0.2">
      <c r="A118" s="25"/>
      <c r="B118" s="25"/>
      <c r="C118" s="26" t="s">
        <v>158</v>
      </c>
      <c r="D118" s="25"/>
      <c r="E118" s="25"/>
      <c r="F118" s="32">
        <v>0</v>
      </c>
      <c r="G118" s="33">
        <v>0</v>
      </c>
      <c r="H118" s="24" t="s">
        <v>146</v>
      </c>
    </row>
    <row r="119" spans="1:8" x14ac:dyDescent="0.2">
      <c r="A119" s="25"/>
      <c r="B119" s="25"/>
      <c r="C119" s="34"/>
      <c r="D119" s="25"/>
      <c r="E119" s="25"/>
      <c r="F119" s="35"/>
      <c r="G119" s="35"/>
      <c r="H119" s="24" t="s">
        <v>146</v>
      </c>
    </row>
    <row r="120" spans="1:8" x14ac:dyDescent="0.2">
      <c r="A120" s="25"/>
      <c r="B120" s="25"/>
      <c r="C120" s="26" t="s">
        <v>159</v>
      </c>
      <c r="D120" s="25"/>
      <c r="E120" s="25"/>
      <c r="F120" s="35"/>
      <c r="G120" s="35"/>
      <c r="H120" s="24" t="s">
        <v>146</v>
      </c>
    </row>
    <row r="121" spans="1:8" x14ac:dyDescent="0.2">
      <c r="A121" s="25"/>
      <c r="B121" s="25"/>
      <c r="C121" s="26" t="s">
        <v>160</v>
      </c>
      <c r="D121" s="25"/>
      <c r="E121" s="25"/>
      <c r="F121" s="35"/>
      <c r="G121" s="35"/>
      <c r="H121" s="24" t="s">
        <v>146</v>
      </c>
    </row>
    <row r="122" spans="1:8" x14ac:dyDescent="0.2">
      <c r="A122" s="25"/>
      <c r="B122" s="25"/>
      <c r="C122" s="26" t="s">
        <v>145</v>
      </c>
      <c r="D122" s="25"/>
      <c r="E122" s="25" t="s">
        <v>146</v>
      </c>
      <c r="F122" s="36" t="s">
        <v>148</v>
      </c>
      <c r="G122" s="33">
        <v>0</v>
      </c>
      <c r="H122" s="24" t="s">
        <v>146</v>
      </c>
    </row>
    <row r="123" spans="1:8" x14ac:dyDescent="0.2">
      <c r="A123" s="25"/>
      <c r="B123" s="25"/>
      <c r="C123" s="34"/>
      <c r="D123" s="25"/>
      <c r="E123" s="25"/>
      <c r="F123" s="35"/>
      <c r="G123" s="35"/>
      <c r="H123" s="24" t="s">
        <v>146</v>
      </c>
    </row>
    <row r="124" spans="1:8" x14ac:dyDescent="0.2">
      <c r="A124" s="25"/>
      <c r="B124" s="25"/>
      <c r="C124" s="26" t="s">
        <v>161</v>
      </c>
      <c r="D124" s="25"/>
      <c r="E124" s="25"/>
      <c r="F124" s="35"/>
      <c r="G124" s="35"/>
      <c r="H124" s="24" t="s">
        <v>146</v>
      </c>
    </row>
    <row r="125" spans="1:8" x14ac:dyDescent="0.2">
      <c r="A125" s="25"/>
      <c r="B125" s="25"/>
      <c r="C125" s="26" t="s">
        <v>145</v>
      </c>
      <c r="D125" s="25"/>
      <c r="E125" s="25" t="s">
        <v>146</v>
      </c>
      <c r="F125" s="36" t="s">
        <v>148</v>
      </c>
      <c r="G125" s="33">
        <v>0</v>
      </c>
      <c r="H125" s="24" t="s">
        <v>146</v>
      </c>
    </row>
    <row r="126" spans="1:8" x14ac:dyDescent="0.2">
      <c r="A126" s="25"/>
      <c r="B126" s="25"/>
      <c r="C126" s="34"/>
      <c r="D126" s="25"/>
      <c r="E126" s="25"/>
      <c r="F126" s="35"/>
      <c r="G126" s="35"/>
      <c r="H126" s="24" t="s">
        <v>146</v>
      </c>
    </row>
    <row r="127" spans="1:8" x14ac:dyDescent="0.2">
      <c r="A127" s="25"/>
      <c r="B127" s="25"/>
      <c r="C127" s="26" t="s">
        <v>162</v>
      </c>
      <c r="D127" s="25"/>
      <c r="E127" s="25"/>
      <c r="F127" s="35"/>
      <c r="G127" s="35"/>
      <c r="H127" s="24" t="s">
        <v>146</v>
      </c>
    </row>
    <row r="128" spans="1:8" x14ac:dyDescent="0.2">
      <c r="A128" s="25"/>
      <c r="B128" s="25"/>
      <c r="C128" s="26" t="s">
        <v>145</v>
      </c>
      <c r="D128" s="25"/>
      <c r="E128" s="25" t="s">
        <v>146</v>
      </c>
      <c r="F128" s="36" t="s">
        <v>148</v>
      </c>
      <c r="G128" s="33">
        <v>0</v>
      </c>
      <c r="H128" s="24" t="s">
        <v>146</v>
      </c>
    </row>
    <row r="129" spans="1:8" x14ac:dyDescent="0.2">
      <c r="A129" s="25"/>
      <c r="B129" s="25"/>
      <c r="C129" s="34"/>
      <c r="D129" s="25"/>
      <c r="E129" s="25"/>
      <c r="F129" s="35"/>
      <c r="G129" s="35"/>
      <c r="H129" s="24" t="s">
        <v>146</v>
      </c>
    </row>
    <row r="130" spans="1:8" x14ac:dyDescent="0.2">
      <c r="A130" s="25"/>
      <c r="B130" s="25"/>
      <c r="C130" s="26" t="s">
        <v>163</v>
      </c>
      <c r="D130" s="25"/>
      <c r="E130" s="25"/>
      <c r="F130" s="35"/>
      <c r="G130" s="35"/>
      <c r="H130" s="24" t="s">
        <v>146</v>
      </c>
    </row>
    <row r="131" spans="1:8" x14ac:dyDescent="0.2">
      <c r="A131" s="27">
        <v>1</v>
      </c>
      <c r="B131" s="28"/>
      <c r="C131" s="28" t="s">
        <v>164</v>
      </c>
      <c r="D131" s="28"/>
      <c r="E131" s="38"/>
      <c r="F131" s="30">
        <v>60565.096066765</v>
      </c>
      <c r="G131" s="31">
        <v>5.2040599999999999E-2</v>
      </c>
      <c r="H131" s="24">
        <v>6.57</v>
      </c>
    </row>
    <row r="132" spans="1:8" x14ac:dyDescent="0.2">
      <c r="A132" s="25"/>
      <c r="B132" s="25"/>
      <c r="C132" s="26" t="s">
        <v>145</v>
      </c>
      <c r="D132" s="25"/>
      <c r="E132" s="25" t="s">
        <v>146</v>
      </c>
      <c r="F132" s="32">
        <v>60565.096066765</v>
      </c>
      <c r="G132" s="33">
        <v>5.2040599999999999E-2</v>
      </c>
      <c r="H132" s="24" t="s">
        <v>146</v>
      </c>
    </row>
    <row r="133" spans="1:8" x14ac:dyDescent="0.2">
      <c r="A133" s="25"/>
      <c r="B133" s="25"/>
      <c r="C133" s="34"/>
      <c r="D133" s="25"/>
      <c r="E133" s="25"/>
      <c r="F133" s="35"/>
      <c r="G133" s="35"/>
      <c r="H133" s="24" t="s">
        <v>146</v>
      </c>
    </row>
    <row r="134" spans="1:8" x14ac:dyDescent="0.2">
      <c r="A134" s="25"/>
      <c r="B134" s="25"/>
      <c r="C134" s="26" t="s">
        <v>165</v>
      </c>
      <c r="D134" s="25"/>
      <c r="E134" s="25"/>
      <c r="F134" s="32">
        <v>60565.096066765</v>
      </c>
      <c r="G134" s="33">
        <v>5.2040599999999999E-2</v>
      </c>
      <c r="H134" s="24" t="s">
        <v>146</v>
      </c>
    </row>
    <row r="135" spans="1:8" x14ac:dyDescent="0.2">
      <c r="A135" s="25"/>
      <c r="B135" s="25"/>
      <c r="C135" s="35"/>
      <c r="D135" s="25"/>
      <c r="E135" s="25"/>
      <c r="F135" s="25"/>
      <c r="G135" s="25"/>
      <c r="H135" s="24" t="s">
        <v>146</v>
      </c>
    </row>
    <row r="136" spans="1:8" x14ac:dyDescent="0.2">
      <c r="A136" s="25"/>
      <c r="B136" s="25"/>
      <c r="C136" s="26" t="s">
        <v>166</v>
      </c>
      <c r="D136" s="25"/>
      <c r="E136" s="25"/>
      <c r="F136" s="25"/>
      <c r="G136" s="25"/>
      <c r="H136" s="24" t="s">
        <v>146</v>
      </c>
    </row>
    <row r="137" spans="1:8" x14ac:dyDescent="0.2">
      <c r="A137" s="25"/>
      <c r="B137" s="25"/>
      <c r="C137" s="26" t="s">
        <v>167</v>
      </c>
      <c r="D137" s="25"/>
      <c r="E137" s="25"/>
      <c r="F137" s="25"/>
      <c r="G137" s="25"/>
      <c r="H137" s="24" t="s">
        <v>146</v>
      </c>
    </row>
    <row r="138" spans="1:8" x14ac:dyDescent="0.2">
      <c r="A138" s="27">
        <v>1</v>
      </c>
      <c r="B138" s="28" t="s">
        <v>325</v>
      </c>
      <c r="C138" s="37" t="s">
        <v>869</v>
      </c>
      <c r="D138" s="28"/>
      <c r="E138" s="70">
        <v>231364.02650000001</v>
      </c>
      <c r="F138" s="30">
        <v>5236.2947355830001</v>
      </c>
      <c r="G138" s="31">
        <v>4.4992900000000004E-3</v>
      </c>
      <c r="H138" s="24" t="s">
        <v>146</v>
      </c>
    </row>
    <row r="139" spans="1:8" x14ac:dyDescent="0.2">
      <c r="A139" s="25"/>
      <c r="B139" s="25"/>
      <c r="C139" s="26" t="s">
        <v>145</v>
      </c>
      <c r="D139" s="25"/>
      <c r="E139" s="25" t="s">
        <v>146</v>
      </c>
      <c r="F139" s="32">
        <v>5236.2947355830001</v>
      </c>
      <c r="G139" s="33">
        <v>4.4992900000000004E-3</v>
      </c>
      <c r="H139" s="24" t="s">
        <v>146</v>
      </c>
    </row>
    <row r="140" spans="1:8" x14ac:dyDescent="0.2">
      <c r="A140" s="25"/>
      <c r="B140" s="25"/>
      <c r="C140" s="34"/>
      <c r="D140" s="25"/>
      <c r="E140" s="25"/>
      <c r="F140" s="35"/>
      <c r="G140" s="35"/>
      <c r="H140" s="24" t="s">
        <v>146</v>
      </c>
    </row>
    <row r="141" spans="1:8" x14ac:dyDescent="0.2">
      <c r="A141" s="25"/>
      <c r="B141" s="25"/>
      <c r="C141" s="26" t="s">
        <v>168</v>
      </c>
      <c r="D141" s="25"/>
      <c r="E141" s="25"/>
      <c r="F141" s="25"/>
      <c r="G141" s="25"/>
      <c r="H141" s="24" t="s">
        <v>146</v>
      </c>
    </row>
    <row r="142" spans="1:8" x14ac:dyDescent="0.2">
      <c r="A142" s="25"/>
      <c r="B142" s="25"/>
      <c r="C142" s="26" t="s">
        <v>169</v>
      </c>
      <c r="D142" s="25"/>
      <c r="E142" s="25"/>
      <c r="F142" s="25"/>
      <c r="G142" s="25"/>
      <c r="H142" s="24" t="s">
        <v>146</v>
      </c>
    </row>
    <row r="143" spans="1:8" x14ac:dyDescent="0.2">
      <c r="A143" s="25"/>
      <c r="B143" s="25"/>
      <c r="C143" s="26" t="s">
        <v>145</v>
      </c>
      <c r="D143" s="25"/>
      <c r="E143" s="25" t="s">
        <v>146</v>
      </c>
      <c r="F143" s="36" t="s">
        <v>148</v>
      </c>
      <c r="G143" s="33">
        <v>0</v>
      </c>
      <c r="H143" s="24" t="s">
        <v>146</v>
      </c>
    </row>
    <row r="144" spans="1:8" x14ac:dyDescent="0.2">
      <c r="A144" s="25"/>
      <c r="B144" s="25"/>
      <c r="C144" s="34"/>
      <c r="D144" s="25"/>
      <c r="E144" s="25"/>
      <c r="F144" s="35"/>
      <c r="G144" s="35"/>
      <c r="H144" s="24" t="s">
        <v>146</v>
      </c>
    </row>
    <row r="145" spans="1:17" x14ac:dyDescent="0.2">
      <c r="A145" s="25"/>
      <c r="B145" s="25"/>
      <c r="C145" s="26" t="s">
        <v>170</v>
      </c>
      <c r="D145" s="25"/>
      <c r="E145" s="25"/>
      <c r="F145" s="35"/>
      <c r="G145" s="35"/>
      <c r="H145" s="24" t="s">
        <v>146</v>
      </c>
    </row>
    <row r="146" spans="1:17" x14ac:dyDescent="0.2">
      <c r="A146" s="25"/>
      <c r="B146" s="25"/>
      <c r="C146" s="26" t="s">
        <v>145</v>
      </c>
      <c r="D146" s="25"/>
      <c r="E146" s="25" t="s">
        <v>146</v>
      </c>
      <c r="F146" s="36" t="s">
        <v>148</v>
      </c>
      <c r="G146" s="33">
        <v>0</v>
      </c>
      <c r="H146" s="24" t="s">
        <v>146</v>
      </c>
    </row>
    <row r="147" spans="1:17" x14ac:dyDescent="0.2">
      <c r="A147" s="25"/>
      <c r="B147" s="25"/>
      <c r="C147" s="34"/>
      <c r="D147" s="25"/>
      <c r="E147" s="25"/>
      <c r="F147" s="35"/>
      <c r="G147" s="35"/>
      <c r="H147" s="24" t="s">
        <v>146</v>
      </c>
    </row>
    <row r="148" spans="1:17" x14ac:dyDescent="0.2">
      <c r="A148" s="38"/>
      <c r="B148" s="28"/>
      <c r="C148" s="28" t="s">
        <v>171</v>
      </c>
      <c r="D148" s="28"/>
      <c r="E148" s="38"/>
      <c r="F148" s="30">
        <v>-3345.1641601800002</v>
      </c>
      <c r="G148" s="31">
        <v>-2.87434E-3</v>
      </c>
      <c r="H148" s="24" t="s">
        <v>146</v>
      </c>
    </row>
    <row r="149" spans="1:17" x14ac:dyDescent="0.2">
      <c r="A149" s="34"/>
      <c r="B149" s="34"/>
      <c r="C149" s="26" t="s">
        <v>172</v>
      </c>
      <c r="D149" s="35"/>
      <c r="E149" s="35"/>
      <c r="F149" s="32">
        <v>1163804.680172968</v>
      </c>
      <c r="G149" s="39">
        <v>1.0000000099999999</v>
      </c>
      <c r="H149" s="24" t="s">
        <v>146</v>
      </c>
    </row>
    <row r="150" spans="1:17" x14ac:dyDescent="0.2">
      <c r="A150" s="40"/>
      <c r="B150" s="40"/>
      <c r="C150" s="40"/>
      <c r="D150" s="41"/>
      <c r="E150" s="41"/>
      <c r="F150" s="41"/>
      <c r="G150" s="41"/>
    </row>
    <row r="151" spans="1:17" x14ac:dyDescent="0.2">
      <c r="A151" s="42"/>
      <c r="B151" s="236" t="s">
        <v>858</v>
      </c>
      <c r="C151" s="236"/>
      <c r="D151" s="236"/>
      <c r="E151" s="236"/>
      <c r="F151" s="236"/>
      <c r="G151" s="236"/>
      <c r="H151" s="236"/>
      <c r="J151" s="44"/>
    </row>
    <row r="152" spans="1:17" x14ac:dyDescent="0.2">
      <c r="A152" s="42"/>
      <c r="B152" s="236" t="s">
        <v>859</v>
      </c>
      <c r="C152" s="236"/>
      <c r="D152" s="236"/>
      <c r="E152" s="236"/>
      <c r="F152" s="236"/>
      <c r="G152" s="236"/>
      <c r="H152" s="236"/>
      <c r="J152" s="44"/>
    </row>
    <row r="153" spans="1:17" x14ac:dyDescent="0.2">
      <c r="A153" s="42"/>
      <c r="B153" s="236" t="s">
        <v>860</v>
      </c>
      <c r="C153" s="236"/>
      <c r="D153" s="236"/>
      <c r="E153" s="236"/>
      <c r="F153" s="236"/>
      <c r="G153" s="236"/>
      <c r="H153" s="236"/>
      <c r="J153" s="44"/>
    </row>
    <row r="154" spans="1:17" s="46" customFormat="1" ht="66.75" customHeight="1" x14ac:dyDescent="0.25">
      <c r="A154" s="45"/>
      <c r="B154" s="237" t="s">
        <v>861</v>
      </c>
      <c r="C154" s="237"/>
      <c r="D154" s="237"/>
      <c r="E154" s="237"/>
      <c r="F154" s="237"/>
      <c r="G154" s="237"/>
      <c r="H154" s="237"/>
      <c r="I154"/>
      <c r="J154" s="44"/>
      <c r="K154"/>
      <c r="L154"/>
      <c r="M154"/>
      <c r="N154"/>
      <c r="O154"/>
      <c r="P154"/>
      <c r="Q154"/>
    </row>
    <row r="155" spans="1:17" x14ac:dyDescent="0.2">
      <c r="A155" s="42"/>
      <c r="B155" s="236" t="s">
        <v>862</v>
      </c>
      <c r="C155" s="236"/>
      <c r="D155" s="236"/>
      <c r="E155" s="236"/>
      <c r="F155" s="236"/>
      <c r="G155" s="236"/>
      <c r="H155" s="236"/>
      <c r="J155" s="44"/>
    </row>
    <row r="156" spans="1:17" x14ac:dyDescent="0.2">
      <c r="A156" s="47"/>
      <c r="B156" s="47"/>
      <c r="C156" s="47"/>
      <c r="D156" s="48"/>
      <c r="E156" s="48"/>
      <c r="F156" s="48"/>
      <c r="G156" s="48"/>
    </row>
    <row r="157" spans="1:17" x14ac:dyDescent="0.2">
      <c r="A157" s="47"/>
      <c r="B157" s="233" t="s">
        <v>173</v>
      </c>
      <c r="C157" s="234"/>
      <c r="D157" s="235"/>
      <c r="E157" s="49"/>
      <c r="F157" s="48"/>
      <c r="G157" s="48"/>
    </row>
    <row r="158" spans="1:17" ht="26.25" customHeight="1" x14ac:dyDescent="0.2">
      <c r="A158" s="47"/>
      <c r="B158" s="231" t="s">
        <v>174</v>
      </c>
      <c r="C158" s="232"/>
      <c r="D158" s="26" t="s">
        <v>175</v>
      </c>
      <c r="E158" s="49"/>
      <c r="F158" s="48"/>
      <c r="G158" s="48"/>
    </row>
    <row r="159" spans="1:17" ht="12.75" customHeight="1" x14ac:dyDescent="0.2">
      <c r="A159" s="47"/>
      <c r="B159" s="227" t="s">
        <v>863</v>
      </c>
      <c r="C159" s="228"/>
      <c r="D159" s="26" t="s">
        <v>175</v>
      </c>
      <c r="E159" s="49"/>
      <c r="F159" s="48"/>
      <c r="G159" s="48"/>
    </row>
    <row r="160" spans="1:17" x14ac:dyDescent="0.2">
      <c r="A160" s="47"/>
      <c r="B160" s="231" t="s">
        <v>176</v>
      </c>
      <c r="C160" s="232"/>
      <c r="D160" s="35" t="s">
        <v>146</v>
      </c>
      <c r="E160" s="49"/>
      <c r="F160" s="48"/>
      <c r="G160" s="48"/>
    </row>
    <row r="161" spans="1:10" x14ac:dyDescent="0.2">
      <c r="A161" s="53"/>
      <c r="B161" s="54" t="s">
        <v>146</v>
      </c>
      <c r="C161" s="54" t="s">
        <v>864</v>
      </c>
      <c r="D161" s="54" t="s">
        <v>177</v>
      </c>
      <c r="E161" s="53"/>
      <c r="F161" s="53"/>
      <c r="G161" s="53"/>
      <c r="H161" s="53"/>
      <c r="J161" s="44"/>
    </row>
    <row r="162" spans="1:10" x14ac:dyDescent="0.2">
      <c r="A162" s="53"/>
      <c r="B162" s="55" t="s">
        <v>178</v>
      </c>
      <c r="C162" s="56">
        <v>45657</v>
      </c>
      <c r="D162" s="56">
        <v>45688</v>
      </c>
      <c r="E162" s="53"/>
      <c r="F162" s="53"/>
      <c r="G162" s="53"/>
      <c r="J162" s="44"/>
    </row>
    <row r="163" spans="1:10" x14ac:dyDescent="0.2">
      <c r="A163" s="57"/>
      <c r="B163" s="28" t="s">
        <v>179</v>
      </c>
      <c r="C163" s="58">
        <v>1499.6487</v>
      </c>
      <c r="D163" s="58">
        <v>1382.0155</v>
      </c>
      <c r="E163" s="57"/>
      <c r="F163" s="59"/>
      <c r="G163" s="60"/>
    </row>
    <row r="164" spans="1:10" x14ac:dyDescent="0.2">
      <c r="A164" s="57"/>
      <c r="B164" s="28" t="s">
        <v>1025</v>
      </c>
      <c r="C164" s="58">
        <v>75.520899999999997</v>
      </c>
      <c r="D164" s="58">
        <v>69.596900000000005</v>
      </c>
      <c r="E164" s="57"/>
      <c r="F164" s="59"/>
      <c r="G164" s="60"/>
    </row>
    <row r="165" spans="1:10" x14ac:dyDescent="0.2">
      <c r="A165" s="57"/>
      <c r="B165" s="28" t="s">
        <v>180</v>
      </c>
      <c r="C165" s="58">
        <v>1379.7360000000001</v>
      </c>
      <c r="D165" s="58">
        <v>1270.6123</v>
      </c>
      <c r="E165" s="57"/>
      <c r="F165" s="59"/>
      <c r="G165" s="60"/>
    </row>
    <row r="166" spans="1:10" x14ac:dyDescent="0.2">
      <c r="A166" s="57"/>
      <c r="B166" s="28" t="s">
        <v>1026</v>
      </c>
      <c r="C166" s="58">
        <v>68.508600000000001</v>
      </c>
      <c r="D166" s="58">
        <v>63.0901</v>
      </c>
      <c r="E166" s="57"/>
      <c r="F166" s="59"/>
      <c r="G166" s="60"/>
    </row>
    <row r="167" spans="1:10" x14ac:dyDescent="0.2">
      <c r="A167" s="57"/>
      <c r="B167" s="57"/>
      <c r="C167" s="57"/>
      <c r="D167" s="57"/>
      <c r="E167" s="57"/>
      <c r="F167" s="57"/>
      <c r="G167" s="57"/>
    </row>
    <row r="168" spans="1:10" x14ac:dyDescent="0.2">
      <c r="A168" s="53"/>
      <c r="B168" s="227" t="s">
        <v>865</v>
      </c>
      <c r="C168" s="228"/>
      <c r="D168" s="50" t="s">
        <v>175</v>
      </c>
      <c r="E168" s="53"/>
      <c r="F168" s="53"/>
      <c r="G168" s="53"/>
    </row>
    <row r="169" spans="1:10" x14ac:dyDescent="0.2">
      <c r="A169" s="53"/>
      <c r="B169" s="74"/>
      <c r="C169" s="74"/>
      <c r="D169" s="74"/>
      <c r="E169" s="53"/>
      <c r="F169" s="53"/>
      <c r="G169" s="53"/>
    </row>
    <row r="170" spans="1:10" x14ac:dyDescent="0.2">
      <c r="A170" s="53"/>
      <c r="B170" s="227" t="s">
        <v>181</v>
      </c>
      <c r="C170" s="228"/>
      <c r="D170" s="50" t="s">
        <v>175</v>
      </c>
      <c r="E170" s="74"/>
      <c r="F170" s="74"/>
      <c r="G170" s="74"/>
    </row>
    <row r="171" spans="1:10" x14ac:dyDescent="0.2">
      <c r="A171" s="53"/>
      <c r="B171" s="227" t="s">
        <v>182</v>
      </c>
      <c r="C171" s="228"/>
      <c r="D171" s="50" t="s">
        <v>175</v>
      </c>
      <c r="E171" s="53"/>
      <c r="F171" s="53"/>
      <c r="G171" s="53"/>
    </row>
    <row r="172" spans="1:10" x14ac:dyDescent="0.2">
      <c r="A172" s="53"/>
      <c r="B172" s="227" t="s">
        <v>183</v>
      </c>
      <c r="C172" s="228"/>
      <c r="D172" s="50" t="s">
        <v>175</v>
      </c>
      <c r="E172" s="64"/>
      <c r="F172" s="53"/>
      <c r="G172" s="53"/>
    </row>
    <row r="173" spans="1:10" x14ac:dyDescent="0.2">
      <c r="A173" s="53"/>
      <c r="B173" s="227" t="s">
        <v>184</v>
      </c>
      <c r="C173" s="228"/>
      <c r="D173" s="65">
        <v>0.42914010492974147</v>
      </c>
      <c r="E173" s="64"/>
      <c r="F173" s="53"/>
      <c r="G173" s="53"/>
    </row>
    <row r="175" spans="1:10" x14ac:dyDescent="0.2">
      <c r="B175" s="229" t="s">
        <v>866</v>
      </c>
      <c r="C175" s="229"/>
    </row>
    <row r="177" spans="2:4" ht="153.75" customHeight="1" x14ac:dyDescent="0.2">
      <c r="B177" s="66"/>
      <c r="C177" s="67"/>
      <c r="D177" s="66"/>
    </row>
    <row r="178" spans="2:4" x14ac:dyDescent="0.2">
      <c r="B178" s="66"/>
      <c r="D178" s="66"/>
    </row>
    <row r="179" spans="2:4" x14ac:dyDescent="0.2">
      <c r="B179" s="66" t="s">
        <v>867</v>
      </c>
      <c r="C179" s="67"/>
      <c r="D179" s="66" t="s">
        <v>870</v>
      </c>
    </row>
    <row r="180" spans="2:4" x14ac:dyDescent="0.2">
      <c r="B180" s="66" t="s">
        <v>871</v>
      </c>
      <c r="D180" s="66" t="s">
        <v>872</v>
      </c>
    </row>
  </sheetData>
  <mergeCells count="18">
    <mergeCell ref="A1:H1"/>
    <mergeCell ref="A2:H2"/>
    <mergeCell ref="A3:H3"/>
    <mergeCell ref="B159:C159"/>
    <mergeCell ref="B160:C160"/>
    <mergeCell ref="B157:D157"/>
    <mergeCell ref="B158:C158"/>
    <mergeCell ref="B151:H151"/>
    <mergeCell ref="B152:H152"/>
    <mergeCell ref="B153:H153"/>
    <mergeCell ref="B154:H154"/>
    <mergeCell ref="B155:H155"/>
    <mergeCell ref="B170:C170"/>
    <mergeCell ref="B171:C171"/>
    <mergeCell ref="B175:C175"/>
    <mergeCell ref="B168:C168"/>
    <mergeCell ref="B172:C172"/>
    <mergeCell ref="B173:C173"/>
  </mergeCells>
  <hyperlinks>
    <hyperlink ref="I1" location="Index!B2" display="Index" xr:uid="{CB646AE6-759C-41A5-8EE0-964EE396FA4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6D80-2C3F-4459-8BFC-79C34B747B58}">
  <sheetPr>
    <outlinePr summaryBelow="0" summaryRight="0"/>
  </sheetPr>
  <dimension ref="A1:Q232"/>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326</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tr">
        <f>IFERROR(VLOOKUP(B5,#REF!,12,FALSE),"")</f>
        <v/>
      </c>
    </row>
    <row r="6" spans="1:9" x14ac:dyDescent="0.2">
      <c r="A6" s="25"/>
      <c r="B6" s="25"/>
      <c r="C6" s="26" t="s">
        <v>10</v>
      </c>
      <c r="D6" s="25"/>
      <c r="E6" s="25"/>
      <c r="F6" s="25"/>
      <c r="G6" s="25"/>
      <c r="H6" s="24" t="str">
        <f>IFERROR(VLOOKUP(B6,#REF!,12,FALSE),"")</f>
        <v/>
      </c>
    </row>
    <row r="7" spans="1:9" x14ac:dyDescent="0.2">
      <c r="A7" s="27">
        <v>1</v>
      </c>
      <c r="B7" s="28" t="s">
        <v>327</v>
      </c>
      <c r="C7" s="28" t="s">
        <v>328</v>
      </c>
      <c r="D7" s="28" t="s">
        <v>33</v>
      </c>
      <c r="E7" s="29">
        <v>1940000</v>
      </c>
      <c r="F7" s="30">
        <v>32955.75</v>
      </c>
      <c r="G7" s="31">
        <v>5.0933510000000001E-2</v>
      </c>
      <c r="H7" s="24" t="str">
        <f>IFERROR(VLOOKUP(B7,#REF!,12,FALSE),"")</f>
        <v/>
      </c>
    </row>
    <row r="8" spans="1:9" x14ac:dyDescent="0.2">
      <c r="A8" s="27">
        <v>2</v>
      </c>
      <c r="B8" s="28" t="s">
        <v>31</v>
      </c>
      <c r="C8" s="28" t="s">
        <v>32</v>
      </c>
      <c r="D8" s="28" t="s">
        <v>33</v>
      </c>
      <c r="E8" s="29">
        <v>2225000</v>
      </c>
      <c r="F8" s="30">
        <v>27874.799999999999</v>
      </c>
      <c r="G8" s="31">
        <v>4.3080840000000002E-2</v>
      </c>
      <c r="H8" s="24" t="str">
        <f>IFERROR(VLOOKUP(B8,#REF!,12,FALSE),"")</f>
        <v/>
      </c>
    </row>
    <row r="9" spans="1:9" x14ac:dyDescent="0.2">
      <c r="A9" s="27">
        <v>3</v>
      </c>
      <c r="B9" s="28" t="s">
        <v>14</v>
      </c>
      <c r="C9" s="28" t="s">
        <v>15</v>
      </c>
      <c r="D9" s="28" t="s">
        <v>16</v>
      </c>
      <c r="E9" s="29">
        <v>2010000</v>
      </c>
      <c r="F9" s="30">
        <v>25428.51</v>
      </c>
      <c r="G9" s="31">
        <v>3.9300069999999999E-2</v>
      </c>
      <c r="H9" s="24" t="str">
        <f>IFERROR(VLOOKUP(B9,#REF!,12,FALSE),"")</f>
        <v/>
      </c>
    </row>
    <row r="10" spans="1:9" x14ac:dyDescent="0.2">
      <c r="A10" s="27">
        <v>4</v>
      </c>
      <c r="B10" s="28" t="s">
        <v>329</v>
      </c>
      <c r="C10" s="28" t="s">
        <v>330</v>
      </c>
      <c r="D10" s="28" t="s">
        <v>195</v>
      </c>
      <c r="E10" s="29">
        <v>1000000</v>
      </c>
      <c r="F10" s="30">
        <v>18798</v>
      </c>
      <c r="G10" s="31">
        <v>2.9052540000000002E-2</v>
      </c>
      <c r="H10" s="24" t="str">
        <f>IFERROR(VLOOKUP(B10,#REF!,12,FALSE),"")</f>
        <v/>
      </c>
    </row>
    <row r="11" spans="1:9" x14ac:dyDescent="0.2">
      <c r="A11" s="27">
        <v>5</v>
      </c>
      <c r="B11" s="28" t="s">
        <v>48</v>
      </c>
      <c r="C11" s="28" t="s">
        <v>49</v>
      </c>
      <c r="D11" s="28" t="s">
        <v>33</v>
      </c>
      <c r="E11" s="29">
        <v>2300000</v>
      </c>
      <c r="F11" s="30">
        <v>17776.7</v>
      </c>
      <c r="G11" s="31">
        <v>2.7474100000000001E-2</v>
      </c>
      <c r="H11" s="24" t="str">
        <f>IFERROR(VLOOKUP(B11,#REF!,12,FALSE),"")</f>
        <v/>
      </c>
    </row>
    <row r="12" spans="1:9" x14ac:dyDescent="0.2">
      <c r="A12" s="27">
        <v>6</v>
      </c>
      <c r="B12" s="28" t="s">
        <v>331</v>
      </c>
      <c r="C12" s="28" t="s">
        <v>332</v>
      </c>
      <c r="D12" s="28" t="s">
        <v>205</v>
      </c>
      <c r="E12" s="29">
        <v>6943496</v>
      </c>
      <c r="F12" s="30">
        <v>15299.993436000001</v>
      </c>
      <c r="G12" s="31">
        <v>2.3646319999999998E-2</v>
      </c>
      <c r="H12" s="24" t="str">
        <f>IFERROR(VLOOKUP(B12,#REF!,12,FALSE),"")</f>
        <v/>
      </c>
    </row>
    <row r="13" spans="1:9" x14ac:dyDescent="0.2">
      <c r="A13" s="27">
        <v>7</v>
      </c>
      <c r="B13" s="28" t="s">
        <v>11</v>
      </c>
      <c r="C13" s="28" t="s">
        <v>12</v>
      </c>
      <c r="D13" s="28" t="s">
        <v>13</v>
      </c>
      <c r="E13" s="29">
        <v>415000</v>
      </c>
      <c r="F13" s="30">
        <v>14804.71</v>
      </c>
      <c r="G13" s="31">
        <v>2.2880859999999999E-2</v>
      </c>
      <c r="H13" s="24" t="str">
        <f>IFERROR(VLOOKUP(B13,#REF!,12,FALSE),"")</f>
        <v/>
      </c>
    </row>
    <row r="14" spans="1:9" x14ac:dyDescent="0.2">
      <c r="A14" s="27">
        <v>8</v>
      </c>
      <c r="B14" s="28" t="s">
        <v>17</v>
      </c>
      <c r="C14" s="28" t="s">
        <v>18</v>
      </c>
      <c r="D14" s="28" t="s">
        <v>19</v>
      </c>
      <c r="E14" s="29">
        <v>900000</v>
      </c>
      <c r="F14" s="30">
        <v>14636.7</v>
      </c>
      <c r="G14" s="31">
        <v>2.2621200000000001E-2</v>
      </c>
      <c r="H14" s="24" t="str">
        <f>IFERROR(VLOOKUP(B14,#REF!,12,FALSE),"")</f>
        <v/>
      </c>
    </row>
    <row r="15" spans="1:9" x14ac:dyDescent="0.2">
      <c r="A15" s="27">
        <v>9</v>
      </c>
      <c r="B15" s="28" t="s">
        <v>333</v>
      </c>
      <c r="C15" s="28" t="s">
        <v>334</v>
      </c>
      <c r="D15" s="28" t="s">
        <v>33</v>
      </c>
      <c r="E15" s="29">
        <v>680000</v>
      </c>
      <c r="F15" s="30">
        <v>12928.84</v>
      </c>
      <c r="G15" s="31">
        <v>1.9981680000000002E-2</v>
      </c>
      <c r="H15" s="24" t="str">
        <f>IFERROR(VLOOKUP(B15,#REF!,12,FALSE),"")</f>
        <v/>
      </c>
    </row>
    <row r="16" spans="1:9" x14ac:dyDescent="0.2">
      <c r="A16" s="27">
        <v>10</v>
      </c>
      <c r="B16" s="28" t="s">
        <v>221</v>
      </c>
      <c r="C16" s="28" t="s">
        <v>222</v>
      </c>
      <c r="D16" s="28" t="s">
        <v>223</v>
      </c>
      <c r="E16" s="29">
        <v>1675000</v>
      </c>
      <c r="F16" s="30">
        <v>11790.325000000001</v>
      </c>
      <c r="G16" s="31">
        <v>1.822209E-2</v>
      </c>
      <c r="H16" s="24" t="str">
        <f>IFERROR(VLOOKUP(B16,#REF!,12,FALSE),"")</f>
        <v/>
      </c>
    </row>
    <row r="17" spans="1:8" ht="25.5" x14ac:dyDescent="0.2">
      <c r="A17" s="27">
        <v>11</v>
      </c>
      <c r="B17" s="28" t="s">
        <v>229</v>
      </c>
      <c r="C17" s="28" t="s">
        <v>230</v>
      </c>
      <c r="D17" s="28" t="s">
        <v>198</v>
      </c>
      <c r="E17" s="29">
        <v>230000</v>
      </c>
      <c r="F17" s="30">
        <v>11645.014999999999</v>
      </c>
      <c r="G17" s="31">
        <v>1.7997510000000001E-2</v>
      </c>
      <c r="H17" s="24" t="str">
        <f>IFERROR(VLOOKUP(B17,#REF!,12,FALSE),"")</f>
        <v/>
      </c>
    </row>
    <row r="18" spans="1:8" x14ac:dyDescent="0.2">
      <c r="A18" s="27">
        <v>12</v>
      </c>
      <c r="B18" s="28" t="s">
        <v>271</v>
      </c>
      <c r="C18" s="28" t="s">
        <v>272</v>
      </c>
      <c r="D18" s="28" t="s">
        <v>83</v>
      </c>
      <c r="E18" s="29">
        <v>1220000</v>
      </c>
      <c r="F18" s="30">
        <v>11536.32</v>
      </c>
      <c r="G18" s="31">
        <v>1.7829520000000001E-2</v>
      </c>
      <c r="H18" s="24" t="str">
        <f>IFERROR(VLOOKUP(B18,#REF!,12,FALSE),"")</f>
        <v/>
      </c>
    </row>
    <row r="19" spans="1:8" x14ac:dyDescent="0.2">
      <c r="A19" s="27">
        <v>13</v>
      </c>
      <c r="B19" s="28" t="s">
        <v>335</v>
      </c>
      <c r="C19" s="28" t="s">
        <v>336</v>
      </c>
      <c r="D19" s="28" t="s">
        <v>195</v>
      </c>
      <c r="E19" s="29">
        <v>265000</v>
      </c>
      <c r="F19" s="30">
        <v>10897.86</v>
      </c>
      <c r="G19" s="31">
        <v>1.684277E-2</v>
      </c>
      <c r="H19" s="24" t="str">
        <f>IFERROR(VLOOKUP(B19,#REF!,12,FALSE),"")</f>
        <v/>
      </c>
    </row>
    <row r="20" spans="1:8" ht="25.5" x14ac:dyDescent="0.2">
      <c r="A20" s="27">
        <v>14</v>
      </c>
      <c r="B20" s="28" t="s">
        <v>196</v>
      </c>
      <c r="C20" s="28" t="s">
        <v>197</v>
      </c>
      <c r="D20" s="28" t="s">
        <v>198</v>
      </c>
      <c r="E20" s="29">
        <v>514192</v>
      </c>
      <c r="F20" s="30">
        <v>10697.507464</v>
      </c>
      <c r="G20" s="31">
        <v>1.653313E-2</v>
      </c>
      <c r="H20" s="24" t="str">
        <f>IFERROR(VLOOKUP(B20,#REF!,12,FALSE),"")</f>
        <v/>
      </c>
    </row>
    <row r="21" spans="1:8" x14ac:dyDescent="0.2">
      <c r="A21" s="27">
        <v>15</v>
      </c>
      <c r="B21" s="28" t="s">
        <v>224</v>
      </c>
      <c r="C21" s="28" t="s">
        <v>225</v>
      </c>
      <c r="D21" s="28" t="s">
        <v>226</v>
      </c>
      <c r="E21" s="29">
        <v>490000</v>
      </c>
      <c r="F21" s="30">
        <v>10515.4</v>
      </c>
      <c r="G21" s="31">
        <v>1.6251680000000001E-2</v>
      </c>
      <c r="H21" s="24" t="str">
        <f>IFERROR(VLOOKUP(B21,#REF!,12,FALSE),"")</f>
        <v/>
      </c>
    </row>
    <row r="22" spans="1:8" ht="25.5" x14ac:dyDescent="0.2">
      <c r="A22" s="27">
        <v>16</v>
      </c>
      <c r="B22" s="28" t="s">
        <v>337</v>
      </c>
      <c r="C22" s="28" t="s">
        <v>338</v>
      </c>
      <c r="D22" s="28" t="s">
        <v>198</v>
      </c>
      <c r="E22" s="29">
        <v>600000</v>
      </c>
      <c r="F22" s="30">
        <v>10463.700000000001</v>
      </c>
      <c r="G22" s="31">
        <v>1.617178E-2</v>
      </c>
      <c r="H22" s="24" t="str">
        <f>IFERROR(VLOOKUP(B22,#REF!,12,FALSE),"")</f>
        <v/>
      </c>
    </row>
    <row r="23" spans="1:8" x14ac:dyDescent="0.2">
      <c r="A23" s="27">
        <v>17</v>
      </c>
      <c r="B23" s="28" t="s">
        <v>37</v>
      </c>
      <c r="C23" s="28" t="s">
        <v>38</v>
      </c>
      <c r="D23" s="28" t="s">
        <v>39</v>
      </c>
      <c r="E23" s="29">
        <v>160000</v>
      </c>
      <c r="F23" s="30">
        <v>10402.879999999999</v>
      </c>
      <c r="G23" s="31">
        <v>1.607778E-2</v>
      </c>
      <c r="H23" s="24" t="str">
        <f>IFERROR(VLOOKUP(B23,#REF!,12,FALSE),"")</f>
        <v/>
      </c>
    </row>
    <row r="24" spans="1:8" ht="25.5" x14ac:dyDescent="0.2">
      <c r="A24" s="27">
        <v>18</v>
      </c>
      <c r="B24" s="28" t="s">
        <v>23</v>
      </c>
      <c r="C24" s="28" t="s">
        <v>24</v>
      </c>
      <c r="D24" s="28" t="s">
        <v>25</v>
      </c>
      <c r="E24" s="29">
        <v>90000</v>
      </c>
      <c r="F24" s="30">
        <v>10338.705</v>
      </c>
      <c r="G24" s="31">
        <v>1.5978590000000001E-2</v>
      </c>
      <c r="H24" s="24" t="str">
        <f>IFERROR(VLOOKUP(B24,#REF!,12,FALSE),"")</f>
        <v/>
      </c>
    </row>
    <row r="25" spans="1:8" x14ac:dyDescent="0.2">
      <c r="A25" s="27">
        <v>19</v>
      </c>
      <c r="B25" s="28" t="s">
        <v>339</v>
      </c>
      <c r="C25" s="28" t="s">
        <v>340</v>
      </c>
      <c r="D25" s="28" t="s">
        <v>33</v>
      </c>
      <c r="E25" s="29">
        <v>1000000</v>
      </c>
      <c r="F25" s="30">
        <v>9861</v>
      </c>
      <c r="G25" s="31">
        <v>1.524029E-2</v>
      </c>
      <c r="H25" s="24" t="str">
        <f>IFERROR(VLOOKUP(B25,#REF!,12,FALSE),"")</f>
        <v/>
      </c>
    </row>
    <row r="26" spans="1:8" x14ac:dyDescent="0.2">
      <c r="A26" s="27">
        <v>20</v>
      </c>
      <c r="B26" s="28" t="s">
        <v>240</v>
      </c>
      <c r="C26" s="28" t="s">
        <v>241</v>
      </c>
      <c r="D26" s="28" t="s">
        <v>195</v>
      </c>
      <c r="E26" s="29">
        <v>340000</v>
      </c>
      <c r="F26" s="30">
        <v>9751.0300000000007</v>
      </c>
      <c r="G26" s="31">
        <v>1.507034E-2</v>
      </c>
      <c r="H26" s="24" t="str">
        <f>IFERROR(VLOOKUP(B26,#REF!,12,FALSE),"")</f>
        <v/>
      </c>
    </row>
    <row r="27" spans="1:8" x14ac:dyDescent="0.2">
      <c r="A27" s="27">
        <v>21</v>
      </c>
      <c r="B27" s="28" t="s">
        <v>201</v>
      </c>
      <c r="C27" s="28" t="s">
        <v>202</v>
      </c>
      <c r="D27" s="28" t="s">
        <v>47</v>
      </c>
      <c r="E27" s="29">
        <v>530000</v>
      </c>
      <c r="F27" s="30">
        <v>9607.0450000000001</v>
      </c>
      <c r="G27" s="31">
        <v>1.48478E-2</v>
      </c>
      <c r="H27" s="24" t="str">
        <f>IFERROR(VLOOKUP(B27,#REF!,12,FALSE),"")</f>
        <v/>
      </c>
    </row>
    <row r="28" spans="1:8" x14ac:dyDescent="0.2">
      <c r="A28" s="27">
        <v>22</v>
      </c>
      <c r="B28" s="28" t="s">
        <v>234</v>
      </c>
      <c r="C28" s="28" t="s">
        <v>235</v>
      </c>
      <c r="D28" s="28" t="s">
        <v>205</v>
      </c>
      <c r="E28" s="29">
        <v>123750</v>
      </c>
      <c r="F28" s="30">
        <v>9558.0787500000006</v>
      </c>
      <c r="G28" s="31">
        <v>1.477213E-2</v>
      </c>
      <c r="H28" s="24" t="str">
        <f>IFERROR(VLOOKUP(B28,#REF!,12,FALSE),"")</f>
        <v/>
      </c>
    </row>
    <row r="29" spans="1:8" x14ac:dyDescent="0.2">
      <c r="A29" s="27">
        <v>23</v>
      </c>
      <c r="B29" s="28" t="s">
        <v>193</v>
      </c>
      <c r="C29" s="28" t="s">
        <v>194</v>
      </c>
      <c r="D29" s="28" t="s">
        <v>195</v>
      </c>
      <c r="E29" s="29">
        <v>150000</v>
      </c>
      <c r="F29" s="30">
        <v>9048.9</v>
      </c>
      <c r="G29" s="31">
        <v>1.398518E-2</v>
      </c>
      <c r="H29" s="24" t="str">
        <f>IFERROR(VLOOKUP(B29,#REF!,12,FALSE),"")</f>
        <v/>
      </c>
    </row>
    <row r="30" spans="1:8" x14ac:dyDescent="0.2">
      <c r="A30" s="27">
        <v>24</v>
      </c>
      <c r="B30" s="28" t="s">
        <v>20</v>
      </c>
      <c r="C30" s="28" t="s">
        <v>21</v>
      </c>
      <c r="D30" s="28" t="s">
        <v>22</v>
      </c>
      <c r="E30" s="29">
        <v>2775000</v>
      </c>
      <c r="F30" s="30">
        <v>8991</v>
      </c>
      <c r="G30" s="31">
        <v>1.38957E-2</v>
      </c>
      <c r="H30" s="24" t="str">
        <f>IFERROR(VLOOKUP(B30,#REF!,12,FALSE),"")</f>
        <v/>
      </c>
    </row>
    <row r="31" spans="1:8" x14ac:dyDescent="0.2">
      <c r="A31" s="27">
        <v>25</v>
      </c>
      <c r="B31" s="28" t="s">
        <v>341</v>
      </c>
      <c r="C31" s="28" t="s">
        <v>342</v>
      </c>
      <c r="D31" s="28" t="s">
        <v>33</v>
      </c>
      <c r="E31" s="29">
        <v>4100000</v>
      </c>
      <c r="F31" s="30">
        <v>8748.99</v>
      </c>
      <c r="G31" s="31">
        <v>1.352167E-2</v>
      </c>
      <c r="H31" s="24" t="str">
        <f>IFERROR(VLOOKUP(B31,#REF!,12,FALSE),"")</f>
        <v/>
      </c>
    </row>
    <row r="32" spans="1:8" x14ac:dyDescent="0.2">
      <c r="A32" s="27">
        <v>26</v>
      </c>
      <c r="B32" s="28" t="s">
        <v>309</v>
      </c>
      <c r="C32" s="28" t="s">
        <v>310</v>
      </c>
      <c r="D32" s="28" t="s">
        <v>223</v>
      </c>
      <c r="E32" s="29">
        <v>1125000</v>
      </c>
      <c r="F32" s="30">
        <v>8602.875</v>
      </c>
      <c r="G32" s="31">
        <v>1.329585E-2</v>
      </c>
      <c r="H32" s="24" t="str">
        <f>IFERROR(VLOOKUP(B32,#REF!,12,FALSE),"")</f>
        <v/>
      </c>
    </row>
    <row r="33" spans="1:8" x14ac:dyDescent="0.2">
      <c r="A33" s="27">
        <v>27</v>
      </c>
      <c r="B33" s="28" t="s">
        <v>343</v>
      </c>
      <c r="C33" s="28" t="s">
        <v>344</v>
      </c>
      <c r="D33" s="28" t="s">
        <v>226</v>
      </c>
      <c r="E33" s="29">
        <v>1525000</v>
      </c>
      <c r="F33" s="30">
        <v>8185.4375</v>
      </c>
      <c r="G33" s="31">
        <v>1.2650689999999999E-2</v>
      </c>
      <c r="H33" s="24" t="str">
        <f>IFERROR(VLOOKUP(B33,#REF!,12,FALSE),"")</f>
        <v/>
      </c>
    </row>
    <row r="34" spans="1:8" x14ac:dyDescent="0.2">
      <c r="A34" s="27">
        <v>28</v>
      </c>
      <c r="B34" s="28" t="s">
        <v>219</v>
      </c>
      <c r="C34" s="28" t="s">
        <v>220</v>
      </c>
      <c r="D34" s="28" t="s">
        <v>16</v>
      </c>
      <c r="E34" s="29">
        <v>2252328</v>
      </c>
      <c r="F34" s="30">
        <v>8068.9650600000004</v>
      </c>
      <c r="G34" s="31">
        <v>1.247068E-2</v>
      </c>
      <c r="H34" s="24" t="str">
        <f>IFERROR(VLOOKUP(B34,#REF!,12,FALSE),"")</f>
        <v/>
      </c>
    </row>
    <row r="35" spans="1:8" ht="25.5" x14ac:dyDescent="0.2">
      <c r="A35" s="27">
        <v>29</v>
      </c>
      <c r="B35" s="28" t="s">
        <v>216</v>
      </c>
      <c r="C35" s="28" t="s">
        <v>217</v>
      </c>
      <c r="D35" s="28" t="s">
        <v>218</v>
      </c>
      <c r="E35" s="29">
        <v>1137199</v>
      </c>
      <c r="F35" s="30">
        <v>7626.6250934999998</v>
      </c>
      <c r="G35" s="31">
        <v>1.178704E-2</v>
      </c>
      <c r="H35" s="24" t="str">
        <f>IFERROR(VLOOKUP(B35,#REF!,12,FALSE),"")</f>
        <v/>
      </c>
    </row>
    <row r="36" spans="1:8" x14ac:dyDescent="0.2">
      <c r="A36" s="27">
        <v>30</v>
      </c>
      <c r="B36" s="28" t="s">
        <v>206</v>
      </c>
      <c r="C36" s="28" t="s">
        <v>207</v>
      </c>
      <c r="D36" s="28" t="s">
        <v>208</v>
      </c>
      <c r="E36" s="29">
        <v>1175000</v>
      </c>
      <c r="F36" s="30">
        <v>7522.35</v>
      </c>
      <c r="G36" s="31">
        <v>1.162588E-2</v>
      </c>
      <c r="H36" s="24" t="str">
        <f>IFERROR(VLOOKUP(B36,#REF!,12,FALSE),"")</f>
        <v/>
      </c>
    </row>
    <row r="37" spans="1:8" x14ac:dyDescent="0.2">
      <c r="A37" s="27">
        <v>31</v>
      </c>
      <c r="B37" s="28" t="s">
        <v>283</v>
      </c>
      <c r="C37" s="28" t="s">
        <v>284</v>
      </c>
      <c r="D37" s="28" t="s">
        <v>83</v>
      </c>
      <c r="E37" s="29">
        <v>220000</v>
      </c>
      <c r="F37" s="30">
        <v>7308.62</v>
      </c>
      <c r="G37" s="31">
        <v>1.129556E-2</v>
      </c>
      <c r="H37" s="24" t="str">
        <f>IFERROR(VLOOKUP(B37,#REF!,12,FALSE),"")</f>
        <v/>
      </c>
    </row>
    <row r="38" spans="1:8" x14ac:dyDescent="0.2">
      <c r="A38" s="27">
        <v>32</v>
      </c>
      <c r="B38" s="28" t="s">
        <v>227</v>
      </c>
      <c r="C38" s="28" t="s">
        <v>228</v>
      </c>
      <c r="D38" s="28" t="s">
        <v>83</v>
      </c>
      <c r="E38" s="29">
        <v>1660000</v>
      </c>
      <c r="F38" s="30">
        <v>7259.18</v>
      </c>
      <c r="G38" s="31">
        <v>1.1219150000000001E-2</v>
      </c>
      <c r="H38" s="24" t="str">
        <f>IFERROR(VLOOKUP(B38,#REF!,12,FALSE),"")</f>
        <v/>
      </c>
    </row>
    <row r="39" spans="1:8" x14ac:dyDescent="0.2">
      <c r="A39" s="27">
        <v>33</v>
      </c>
      <c r="B39" s="28" t="s">
        <v>250</v>
      </c>
      <c r="C39" s="28" t="s">
        <v>251</v>
      </c>
      <c r="D39" s="28" t="s">
        <v>42</v>
      </c>
      <c r="E39" s="29">
        <v>120000</v>
      </c>
      <c r="F39" s="30">
        <v>7245.54</v>
      </c>
      <c r="G39" s="31">
        <v>1.1198069999999999E-2</v>
      </c>
      <c r="H39" s="24" t="str">
        <f>IFERROR(VLOOKUP(B39,#REF!,12,FALSE),"")</f>
        <v/>
      </c>
    </row>
    <row r="40" spans="1:8" ht="25.5" x14ac:dyDescent="0.2">
      <c r="A40" s="27">
        <v>34</v>
      </c>
      <c r="B40" s="28" t="s">
        <v>345</v>
      </c>
      <c r="C40" s="28" t="s">
        <v>346</v>
      </c>
      <c r="D40" s="28" t="s">
        <v>198</v>
      </c>
      <c r="E40" s="29">
        <v>575000</v>
      </c>
      <c r="F40" s="30">
        <v>6999.7624999999998</v>
      </c>
      <c r="G40" s="31">
        <v>1.081822E-2</v>
      </c>
      <c r="H40" s="24" t="str">
        <f>IFERROR(VLOOKUP(B40,#REF!,12,FALSE),"")</f>
        <v/>
      </c>
    </row>
    <row r="41" spans="1:8" x14ac:dyDescent="0.2">
      <c r="A41" s="27">
        <v>35</v>
      </c>
      <c r="B41" s="28" t="s">
        <v>347</v>
      </c>
      <c r="C41" s="28" t="s">
        <v>348</v>
      </c>
      <c r="D41" s="28" t="s">
        <v>349</v>
      </c>
      <c r="E41" s="29">
        <v>1545000</v>
      </c>
      <c r="F41" s="30">
        <v>6913.875</v>
      </c>
      <c r="G41" s="31">
        <v>1.0685480000000001E-2</v>
      </c>
      <c r="H41" s="24" t="str">
        <f>IFERROR(VLOOKUP(B41,#REF!,12,FALSE),"")</f>
        <v/>
      </c>
    </row>
    <row r="42" spans="1:8" x14ac:dyDescent="0.2">
      <c r="A42" s="27">
        <v>36</v>
      </c>
      <c r="B42" s="28" t="s">
        <v>350</v>
      </c>
      <c r="C42" s="28" t="s">
        <v>351</v>
      </c>
      <c r="D42" s="28" t="s">
        <v>233</v>
      </c>
      <c r="E42" s="29">
        <v>120000</v>
      </c>
      <c r="F42" s="30">
        <v>6879.54</v>
      </c>
      <c r="G42" s="31">
        <v>1.063241E-2</v>
      </c>
      <c r="H42" s="24" t="str">
        <f>IFERROR(VLOOKUP(B42,#REF!,12,FALSE),"")</f>
        <v/>
      </c>
    </row>
    <row r="43" spans="1:8" x14ac:dyDescent="0.2">
      <c r="A43" s="27">
        <v>37</v>
      </c>
      <c r="B43" s="28" t="s">
        <v>236</v>
      </c>
      <c r="C43" s="28" t="s">
        <v>237</v>
      </c>
      <c r="D43" s="28" t="s">
        <v>208</v>
      </c>
      <c r="E43" s="29">
        <v>640000</v>
      </c>
      <c r="F43" s="30">
        <v>6792</v>
      </c>
      <c r="G43" s="31">
        <v>1.049712E-2</v>
      </c>
      <c r="H43" s="24" t="str">
        <f>IFERROR(VLOOKUP(B43,#REF!,12,FALSE),"")</f>
        <v/>
      </c>
    </row>
    <row r="44" spans="1:8" x14ac:dyDescent="0.2">
      <c r="A44" s="27">
        <v>38</v>
      </c>
      <c r="B44" s="28" t="s">
        <v>63</v>
      </c>
      <c r="C44" s="28" t="s">
        <v>64</v>
      </c>
      <c r="D44" s="28" t="s">
        <v>19</v>
      </c>
      <c r="E44" s="29">
        <v>500000</v>
      </c>
      <c r="F44" s="30">
        <v>6774.5</v>
      </c>
      <c r="G44" s="31">
        <v>1.047007E-2</v>
      </c>
      <c r="H44" s="24" t="str">
        <f>IFERROR(VLOOKUP(B44,#REF!,12,FALSE),"")</f>
        <v/>
      </c>
    </row>
    <row r="45" spans="1:8" x14ac:dyDescent="0.2">
      <c r="A45" s="27">
        <v>39</v>
      </c>
      <c r="B45" s="28" t="s">
        <v>186</v>
      </c>
      <c r="C45" s="28" t="s">
        <v>187</v>
      </c>
      <c r="D45" s="28" t="s">
        <v>33</v>
      </c>
      <c r="E45" s="29">
        <v>3600000</v>
      </c>
      <c r="F45" s="30">
        <v>6739.56</v>
      </c>
      <c r="G45" s="31">
        <v>1.0416069999999999E-2</v>
      </c>
      <c r="H45" s="24" t="str">
        <f>IFERROR(VLOOKUP(B45,#REF!,12,FALSE),"")</f>
        <v/>
      </c>
    </row>
    <row r="46" spans="1:8" x14ac:dyDescent="0.2">
      <c r="A46" s="27">
        <v>40</v>
      </c>
      <c r="B46" s="28" t="s">
        <v>209</v>
      </c>
      <c r="C46" s="28" t="s">
        <v>210</v>
      </c>
      <c r="D46" s="28" t="s">
        <v>120</v>
      </c>
      <c r="E46" s="29">
        <v>2347200</v>
      </c>
      <c r="F46" s="30">
        <v>6688.3464000000004</v>
      </c>
      <c r="G46" s="31">
        <v>1.0336919999999999E-2</v>
      </c>
      <c r="H46" s="24" t="str">
        <f>IFERROR(VLOOKUP(B46,#REF!,12,FALSE),"")</f>
        <v/>
      </c>
    </row>
    <row r="47" spans="1:8" ht="25.5" x14ac:dyDescent="0.2">
      <c r="A47" s="27">
        <v>41</v>
      </c>
      <c r="B47" s="28" t="s">
        <v>285</v>
      </c>
      <c r="C47" s="28" t="s">
        <v>286</v>
      </c>
      <c r="D47" s="28" t="s">
        <v>190</v>
      </c>
      <c r="E47" s="29">
        <v>185000</v>
      </c>
      <c r="F47" s="30">
        <v>6444.9375</v>
      </c>
      <c r="G47" s="31">
        <v>9.9607299999999992E-3</v>
      </c>
      <c r="H47" s="24" t="str">
        <f>IFERROR(VLOOKUP(B47,#REF!,12,FALSE),"")</f>
        <v/>
      </c>
    </row>
    <row r="48" spans="1:8" x14ac:dyDescent="0.2">
      <c r="A48" s="27">
        <v>42</v>
      </c>
      <c r="B48" s="28" t="s">
        <v>352</v>
      </c>
      <c r="C48" s="28" t="s">
        <v>353</v>
      </c>
      <c r="D48" s="28" t="s">
        <v>354</v>
      </c>
      <c r="E48" s="29">
        <v>410000</v>
      </c>
      <c r="F48" s="30">
        <v>6182.5950000000003</v>
      </c>
      <c r="G48" s="31">
        <v>9.5552799999999993E-3</v>
      </c>
      <c r="H48" s="24" t="str">
        <f>IFERROR(VLOOKUP(B48,#REF!,12,FALSE),"")</f>
        <v/>
      </c>
    </row>
    <row r="49" spans="1:8" x14ac:dyDescent="0.2">
      <c r="A49" s="27">
        <v>43</v>
      </c>
      <c r="B49" s="28" t="s">
        <v>114</v>
      </c>
      <c r="C49" s="28" t="s">
        <v>115</v>
      </c>
      <c r="D49" s="28" t="s">
        <v>83</v>
      </c>
      <c r="E49" s="29">
        <v>180000</v>
      </c>
      <c r="F49" s="30">
        <v>6166.44</v>
      </c>
      <c r="G49" s="31">
        <v>9.5303100000000002E-3</v>
      </c>
      <c r="H49" s="24" t="str">
        <f>IFERROR(VLOOKUP(B49,#REF!,12,FALSE),"")</f>
        <v/>
      </c>
    </row>
    <row r="50" spans="1:8" x14ac:dyDescent="0.2">
      <c r="A50" s="27">
        <v>44</v>
      </c>
      <c r="B50" s="28" t="s">
        <v>355</v>
      </c>
      <c r="C50" s="28" t="s">
        <v>356</v>
      </c>
      <c r="D50" s="28" t="s">
        <v>39</v>
      </c>
      <c r="E50" s="29">
        <v>520000</v>
      </c>
      <c r="F50" s="30">
        <v>6161.22</v>
      </c>
      <c r="G50" s="31">
        <v>9.5222399999999995E-3</v>
      </c>
      <c r="H50" s="24" t="str">
        <f>IFERROR(VLOOKUP(B50,#REF!,12,FALSE),"")</f>
        <v/>
      </c>
    </row>
    <row r="51" spans="1:8" x14ac:dyDescent="0.2">
      <c r="A51" s="27">
        <v>45</v>
      </c>
      <c r="B51" s="28" t="s">
        <v>34</v>
      </c>
      <c r="C51" s="28" t="s">
        <v>35</v>
      </c>
      <c r="D51" s="28" t="s">
        <v>36</v>
      </c>
      <c r="E51" s="29">
        <v>340000</v>
      </c>
      <c r="F51" s="30">
        <v>6077.5</v>
      </c>
      <c r="G51" s="31">
        <v>9.3928499999999995E-3</v>
      </c>
      <c r="H51" s="24" t="str">
        <f>IFERROR(VLOOKUP(B51,#REF!,12,FALSE),"")</f>
        <v/>
      </c>
    </row>
    <row r="52" spans="1:8" ht="25.5" x14ac:dyDescent="0.2">
      <c r="A52" s="27">
        <v>46</v>
      </c>
      <c r="B52" s="28" t="s">
        <v>50</v>
      </c>
      <c r="C52" s="28" t="s">
        <v>51</v>
      </c>
      <c r="D52" s="28" t="s">
        <v>25</v>
      </c>
      <c r="E52" s="29">
        <v>125000</v>
      </c>
      <c r="F52" s="30">
        <v>6043.5625</v>
      </c>
      <c r="G52" s="31">
        <v>9.3404000000000004E-3</v>
      </c>
      <c r="H52" s="24" t="str">
        <f>IFERROR(VLOOKUP(B52,#REF!,12,FALSE),"")</f>
        <v/>
      </c>
    </row>
    <row r="53" spans="1:8" x14ac:dyDescent="0.2">
      <c r="A53" s="27">
        <v>47</v>
      </c>
      <c r="B53" s="28" t="s">
        <v>357</v>
      </c>
      <c r="C53" s="28" t="s">
        <v>358</v>
      </c>
      <c r="D53" s="28" t="s">
        <v>275</v>
      </c>
      <c r="E53" s="29">
        <v>800000</v>
      </c>
      <c r="F53" s="30">
        <v>5728.8</v>
      </c>
      <c r="G53" s="31">
        <v>8.8539299999999994E-3</v>
      </c>
      <c r="H53" s="24" t="str">
        <f>IFERROR(VLOOKUP(B53,#REF!,12,FALSE),"")</f>
        <v/>
      </c>
    </row>
    <row r="54" spans="1:8" x14ac:dyDescent="0.2">
      <c r="A54" s="27">
        <v>48</v>
      </c>
      <c r="B54" s="28" t="s">
        <v>259</v>
      </c>
      <c r="C54" s="28" t="s">
        <v>260</v>
      </c>
      <c r="D54" s="28" t="s">
        <v>208</v>
      </c>
      <c r="E54" s="29">
        <v>200000</v>
      </c>
      <c r="F54" s="30">
        <v>5706.1</v>
      </c>
      <c r="G54" s="31">
        <v>8.8188499999999996E-3</v>
      </c>
      <c r="H54" s="24" t="str">
        <f>IFERROR(VLOOKUP(B54,#REF!,12,FALSE),"")</f>
        <v/>
      </c>
    </row>
    <row r="55" spans="1:8" x14ac:dyDescent="0.2">
      <c r="A55" s="27">
        <v>49</v>
      </c>
      <c r="B55" s="28" t="s">
        <v>110</v>
      </c>
      <c r="C55" s="28" t="s">
        <v>111</v>
      </c>
      <c r="D55" s="28" t="s">
        <v>42</v>
      </c>
      <c r="E55" s="29">
        <v>195000</v>
      </c>
      <c r="F55" s="30">
        <v>5682.3975</v>
      </c>
      <c r="G55" s="31">
        <v>8.7822100000000004E-3</v>
      </c>
      <c r="H55" s="24" t="str">
        <f>IFERROR(VLOOKUP(B55,#REF!,12,FALSE),"")</f>
        <v/>
      </c>
    </row>
    <row r="56" spans="1:8" x14ac:dyDescent="0.2">
      <c r="A56" s="27">
        <v>50</v>
      </c>
      <c r="B56" s="28" t="s">
        <v>291</v>
      </c>
      <c r="C56" s="28" t="s">
        <v>292</v>
      </c>
      <c r="D56" s="28" t="s">
        <v>280</v>
      </c>
      <c r="E56" s="29">
        <v>501344</v>
      </c>
      <c r="F56" s="30">
        <v>5593.74568</v>
      </c>
      <c r="G56" s="31">
        <v>8.6452000000000005E-3</v>
      </c>
      <c r="H56" s="24" t="str">
        <f>IFERROR(VLOOKUP(B56,#REF!,12,FALSE),"")</f>
        <v/>
      </c>
    </row>
    <row r="57" spans="1:8" x14ac:dyDescent="0.2">
      <c r="A57" s="27">
        <v>51</v>
      </c>
      <c r="B57" s="28" t="s">
        <v>90</v>
      </c>
      <c r="C57" s="28" t="s">
        <v>91</v>
      </c>
      <c r="D57" s="28" t="s">
        <v>36</v>
      </c>
      <c r="E57" s="29">
        <v>830000</v>
      </c>
      <c r="F57" s="30">
        <v>5563.9049999999997</v>
      </c>
      <c r="G57" s="31">
        <v>8.5990800000000003E-3</v>
      </c>
      <c r="H57" s="24" t="str">
        <f>IFERROR(VLOOKUP(B57,#REF!,12,FALSE),"")</f>
        <v/>
      </c>
    </row>
    <row r="58" spans="1:8" x14ac:dyDescent="0.2">
      <c r="A58" s="27">
        <v>52</v>
      </c>
      <c r="B58" s="28" t="s">
        <v>359</v>
      </c>
      <c r="C58" s="28" t="s">
        <v>360</v>
      </c>
      <c r="D58" s="28" t="s">
        <v>30</v>
      </c>
      <c r="E58" s="29">
        <v>140000</v>
      </c>
      <c r="F58" s="30">
        <v>5511.52</v>
      </c>
      <c r="G58" s="31">
        <v>8.5181200000000006E-3</v>
      </c>
      <c r="H58" s="24" t="str">
        <f>IFERROR(VLOOKUP(B58,#REF!,12,FALSE),"")</f>
        <v/>
      </c>
    </row>
    <row r="59" spans="1:8" x14ac:dyDescent="0.2">
      <c r="A59" s="27">
        <v>53</v>
      </c>
      <c r="B59" s="28" t="s">
        <v>43</v>
      </c>
      <c r="C59" s="28" t="s">
        <v>44</v>
      </c>
      <c r="D59" s="28" t="s">
        <v>16</v>
      </c>
      <c r="E59" s="29">
        <v>2100000</v>
      </c>
      <c r="F59" s="30">
        <v>5483.1</v>
      </c>
      <c r="G59" s="31">
        <v>8.4741999999999994E-3</v>
      </c>
      <c r="H59" s="24" t="str">
        <f>IFERROR(VLOOKUP(B59,#REF!,12,FALSE),"")</f>
        <v/>
      </c>
    </row>
    <row r="60" spans="1:8" ht="25.5" x14ac:dyDescent="0.2">
      <c r="A60" s="27">
        <v>54</v>
      </c>
      <c r="B60" s="28" t="s">
        <v>361</v>
      </c>
      <c r="C60" s="28" t="s">
        <v>362</v>
      </c>
      <c r="D60" s="28" t="s">
        <v>120</v>
      </c>
      <c r="E60" s="29">
        <v>425000</v>
      </c>
      <c r="F60" s="30">
        <v>5464.8625000000002</v>
      </c>
      <c r="G60" s="31">
        <v>8.4460100000000003E-3</v>
      </c>
      <c r="H60" s="24" t="str">
        <f>IFERROR(VLOOKUP(B60,#REF!,12,FALSE),"")</f>
        <v/>
      </c>
    </row>
    <row r="61" spans="1:8" x14ac:dyDescent="0.2">
      <c r="A61" s="27">
        <v>55</v>
      </c>
      <c r="B61" s="28" t="s">
        <v>106</v>
      </c>
      <c r="C61" s="28" t="s">
        <v>107</v>
      </c>
      <c r="D61" s="28" t="s">
        <v>36</v>
      </c>
      <c r="E61" s="29">
        <v>93000</v>
      </c>
      <c r="F61" s="30">
        <v>5463.4245000000001</v>
      </c>
      <c r="G61" s="31">
        <v>8.4437899999999996E-3</v>
      </c>
      <c r="H61" s="24" t="str">
        <f>IFERROR(VLOOKUP(B61,#REF!,12,FALSE),"")</f>
        <v/>
      </c>
    </row>
    <row r="62" spans="1:8" x14ac:dyDescent="0.2">
      <c r="A62" s="27">
        <v>56</v>
      </c>
      <c r="B62" s="28" t="s">
        <v>276</v>
      </c>
      <c r="C62" s="28" t="s">
        <v>277</v>
      </c>
      <c r="D62" s="28" t="s">
        <v>47</v>
      </c>
      <c r="E62" s="29">
        <v>390340</v>
      </c>
      <c r="F62" s="30">
        <v>5306.6723000000002</v>
      </c>
      <c r="G62" s="31">
        <v>8.2015300000000003E-3</v>
      </c>
      <c r="H62" s="24" t="str">
        <f>IFERROR(VLOOKUP(B62,#REF!,12,FALSE),"")</f>
        <v/>
      </c>
    </row>
    <row r="63" spans="1:8" x14ac:dyDescent="0.2">
      <c r="A63" s="27">
        <v>57</v>
      </c>
      <c r="B63" s="28" t="s">
        <v>261</v>
      </c>
      <c r="C63" s="28" t="s">
        <v>262</v>
      </c>
      <c r="D63" s="28" t="s">
        <v>83</v>
      </c>
      <c r="E63" s="29">
        <v>425000</v>
      </c>
      <c r="F63" s="30">
        <v>5202.2124999999996</v>
      </c>
      <c r="G63" s="31">
        <v>8.0400799999999998E-3</v>
      </c>
      <c r="H63" s="24" t="str">
        <f>IFERROR(VLOOKUP(B63,#REF!,12,FALSE),"")</f>
        <v/>
      </c>
    </row>
    <row r="64" spans="1:8" x14ac:dyDescent="0.2">
      <c r="A64" s="27">
        <v>58</v>
      </c>
      <c r="B64" s="28" t="s">
        <v>363</v>
      </c>
      <c r="C64" s="28" t="s">
        <v>364</v>
      </c>
      <c r="D64" s="28" t="s">
        <v>39</v>
      </c>
      <c r="E64" s="29">
        <v>146498</v>
      </c>
      <c r="F64" s="30">
        <v>5113.1464450000003</v>
      </c>
      <c r="G64" s="31">
        <v>7.9024300000000002E-3</v>
      </c>
      <c r="H64" s="24" t="str">
        <f>IFERROR(VLOOKUP(B64,#REF!,12,FALSE),"")</f>
        <v/>
      </c>
    </row>
    <row r="65" spans="1:8" x14ac:dyDescent="0.2">
      <c r="A65" s="27">
        <v>59</v>
      </c>
      <c r="B65" s="28" t="s">
        <v>84</v>
      </c>
      <c r="C65" s="28" t="s">
        <v>85</v>
      </c>
      <c r="D65" s="28" t="s">
        <v>42</v>
      </c>
      <c r="E65" s="29">
        <v>550300</v>
      </c>
      <c r="F65" s="30">
        <v>4971.6853499999997</v>
      </c>
      <c r="G65" s="31">
        <v>7.6838000000000002E-3</v>
      </c>
      <c r="H65" s="24" t="str">
        <f>IFERROR(VLOOKUP(B65,#REF!,12,FALSE),"")</f>
        <v/>
      </c>
    </row>
    <row r="66" spans="1:8" x14ac:dyDescent="0.2">
      <c r="A66" s="27">
        <v>60</v>
      </c>
      <c r="B66" s="28" t="s">
        <v>118</v>
      </c>
      <c r="C66" s="28" t="s">
        <v>119</v>
      </c>
      <c r="D66" s="28" t="s">
        <v>120</v>
      </c>
      <c r="E66" s="29">
        <v>1100000</v>
      </c>
      <c r="F66" s="30">
        <v>4948.3500000000004</v>
      </c>
      <c r="G66" s="31">
        <v>7.6477400000000001E-3</v>
      </c>
      <c r="H66" s="24" t="str">
        <f>IFERROR(VLOOKUP(B66,#REF!,12,FALSE),"")</f>
        <v/>
      </c>
    </row>
    <row r="67" spans="1:8" ht="25.5" x14ac:dyDescent="0.2">
      <c r="A67" s="27">
        <v>61</v>
      </c>
      <c r="B67" s="28" t="s">
        <v>365</v>
      </c>
      <c r="C67" s="28" t="s">
        <v>366</v>
      </c>
      <c r="D67" s="28" t="s">
        <v>75</v>
      </c>
      <c r="E67" s="29">
        <v>1774000</v>
      </c>
      <c r="F67" s="30">
        <v>4878.5</v>
      </c>
      <c r="G67" s="31">
        <v>7.5397800000000003E-3</v>
      </c>
      <c r="H67" s="24" t="str">
        <f>IFERROR(VLOOKUP(B67,#REF!,12,FALSE),"")</f>
        <v/>
      </c>
    </row>
    <row r="68" spans="1:8" ht="25.5" x14ac:dyDescent="0.2">
      <c r="A68" s="27">
        <v>62</v>
      </c>
      <c r="B68" s="28" t="s">
        <v>367</v>
      </c>
      <c r="C68" s="28" t="s">
        <v>368</v>
      </c>
      <c r="D68" s="28" t="s">
        <v>198</v>
      </c>
      <c r="E68" s="29">
        <v>375000</v>
      </c>
      <c r="F68" s="30">
        <v>4394.625</v>
      </c>
      <c r="G68" s="31">
        <v>6.7919499999999997E-3</v>
      </c>
      <c r="H68" s="24" t="str">
        <f>IFERROR(VLOOKUP(B68,#REF!,12,FALSE),"")</f>
        <v/>
      </c>
    </row>
    <row r="69" spans="1:8" x14ac:dyDescent="0.2">
      <c r="A69" s="27">
        <v>63</v>
      </c>
      <c r="B69" s="28" t="s">
        <v>125</v>
      </c>
      <c r="C69" s="28" t="s">
        <v>126</v>
      </c>
      <c r="D69" s="28" t="s">
        <v>80</v>
      </c>
      <c r="E69" s="29">
        <v>1346700</v>
      </c>
      <c r="F69" s="30">
        <v>4323.5803500000002</v>
      </c>
      <c r="G69" s="31">
        <v>6.6821500000000004E-3</v>
      </c>
      <c r="H69" s="24" t="str">
        <f>IFERROR(VLOOKUP(B69,#REF!,12,FALSE),"")</f>
        <v/>
      </c>
    </row>
    <row r="70" spans="1:8" x14ac:dyDescent="0.2">
      <c r="A70" s="27">
        <v>64</v>
      </c>
      <c r="B70" s="28" t="s">
        <v>299</v>
      </c>
      <c r="C70" s="28" t="s">
        <v>300</v>
      </c>
      <c r="D70" s="28" t="s">
        <v>275</v>
      </c>
      <c r="E70" s="29">
        <v>5663245</v>
      </c>
      <c r="F70" s="30">
        <v>4236.1072599999998</v>
      </c>
      <c r="G70" s="31">
        <v>6.5469600000000001E-3</v>
      </c>
      <c r="H70" s="24" t="str">
        <f>IFERROR(VLOOKUP(B70,#REF!,12,FALSE),"")</f>
        <v/>
      </c>
    </row>
    <row r="71" spans="1:8" ht="25.5" x14ac:dyDescent="0.2">
      <c r="A71" s="27">
        <v>65</v>
      </c>
      <c r="B71" s="28" t="s">
        <v>246</v>
      </c>
      <c r="C71" s="28" t="s">
        <v>247</v>
      </c>
      <c r="D71" s="28" t="s">
        <v>25</v>
      </c>
      <c r="E71" s="29">
        <v>209000</v>
      </c>
      <c r="F71" s="30">
        <v>4195.9885000000004</v>
      </c>
      <c r="G71" s="31">
        <v>6.4849499999999997E-3</v>
      </c>
      <c r="H71" s="24" t="str">
        <f>IFERROR(VLOOKUP(B71,#REF!,12,FALSE),"")</f>
        <v/>
      </c>
    </row>
    <row r="72" spans="1:8" x14ac:dyDescent="0.2">
      <c r="A72" s="27">
        <v>66</v>
      </c>
      <c r="B72" s="28" t="s">
        <v>191</v>
      </c>
      <c r="C72" s="28" t="s">
        <v>192</v>
      </c>
      <c r="D72" s="28" t="s">
        <v>39</v>
      </c>
      <c r="E72" s="29">
        <v>829572</v>
      </c>
      <c r="F72" s="30">
        <v>4173.5767320000004</v>
      </c>
      <c r="G72" s="31">
        <v>6.4503099999999999E-3</v>
      </c>
      <c r="H72" s="24" t="str">
        <f>IFERROR(VLOOKUP(B72,#REF!,12,FALSE),"")</f>
        <v/>
      </c>
    </row>
    <row r="73" spans="1:8" x14ac:dyDescent="0.2">
      <c r="A73" s="27">
        <v>67</v>
      </c>
      <c r="B73" s="28" t="s">
        <v>297</v>
      </c>
      <c r="C73" s="28" t="s">
        <v>298</v>
      </c>
      <c r="D73" s="28" t="s">
        <v>83</v>
      </c>
      <c r="E73" s="29">
        <v>800000</v>
      </c>
      <c r="F73" s="30">
        <v>4034.4</v>
      </c>
      <c r="G73" s="31">
        <v>6.2352099999999997E-3</v>
      </c>
      <c r="H73" s="24" t="str">
        <f>IFERROR(VLOOKUP(B73,#REF!,12,FALSE),"")</f>
        <v/>
      </c>
    </row>
    <row r="74" spans="1:8" ht="25.5" x14ac:dyDescent="0.2">
      <c r="A74" s="27">
        <v>68</v>
      </c>
      <c r="B74" s="28" t="s">
        <v>369</v>
      </c>
      <c r="C74" s="28" t="s">
        <v>370</v>
      </c>
      <c r="D74" s="28" t="s">
        <v>25</v>
      </c>
      <c r="E74" s="29">
        <v>160000</v>
      </c>
      <c r="F74" s="30">
        <v>4014.16</v>
      </c>
      <c r="G74" s="31">
        <v>6.2039299999999999E-3</v>
      </c>
      <c r="H74" s="24" t="str">
        <f>IFERROR(VLOOKUP(B74,#REF!,12,FALSE),"")</f>
        <v/>
      </c>
    </row>
    <row r="75" spans="1:8" x14ac:dyDescent="0.2">
      <c r="A75" s="27">
        <v>69</v>
      </c>
      <c r="B75" s="28" t="s">
        <v>131</v>
      </c>
      <c r="C75" s="28" t="s">
        <v>132</v>
      </c>
      <c r="D75" s="28" t="s">
        <v>36</v>
      </c>
      <c r="E75" s="29">
        <v>1893584</v>
      </c>
      <c r="F75" s="30">
        <v>3940.3589456</v>
      </c>
      <c r="G75" s="31">
        <v>6.0898699999999998E-3</v>
      </c>
      <c r="H75" s="24" t="str">
        <f>IFERROR(VLOOKUP(B75,#REF!,12,FALSE),"")</f>
        <v/>
      </c>
    </row>
    <row r="76" spans="1:8" x14ac:dyDescent="0.2">
      <c r="A76" s="27">
        <v>70</v>
      </c>
      <c r="B76" s="28" t="s">
        <v>127</v>
      </c>
      <c r="C76" s="28" t="s">
        <v>128</v>
      </c>
      <c r="D76" s="28" t="s">
        <v>22</v>
      </c>
      <c r="E76" s="29">
        <v>240000</v>
      </c>
      <c r="F76" s="30">
        <v>3512.28</v>
      </c>
      <c r="G76" s="31">
        <v>5.4282699999999998E-3</v>
      </c>
      <c r="H76" s="24" t="str">
        <f>IFERROR(VLOOKUP(B76,#REF!,12,FALSE),"")</f>
        <v/>
      </c>
    </row>
    <row r="77" spans="1:8" x14ac:dyDescent="0.2">
      <c r="A77" s="27">
        <v>71</v>
      </c>
      <c r="B77" s="28" t="s">
        <v>315</v>
      </c>
      <c r="C77" s="28" t="s">
        <v>316</v>
      </c>
      <c r="D77" s="28" t="s">
        <v>39</v>
      </c>
      <c r="E77" s="29">
        <v>346000</v>
      </c>
      <c r="F77" s="30">
        <v>3430.2440000000001</v>
      </c>
      <c r="G77" s="31">
        <v>5.3014799999999999E-3</v>
      </c>
      <c r="H77" s="24" t="str">
        <f>IFERROR(VLOOKUP(B77,#REF!,12,FALSE),"")</f>
        <v/>
      </c>
    </row>
    <row r="78" spans="1:8" x14ac:dyDescent="0.2">
      <c r="A78" s="27">
        <v>72</v>
      </c>
      <c r="B78" s="28" t="s">
        <v>371</v>
      </c>
      <c r="C78" s="28" t="s">
        <v>372</v>
      </c>
      <c r="D78" s="28" t="s">
        <v>373</v>
      </c>
      <c r="E78" s="29">
        <v>825000</v>
      </c>
      <c r="F78" s="30">
        <v>3266.1750000000002</v>
      </c>
      <c r="G78" s="31">
        <v>5.0479100000000001E-3</v>
      </c>
      <c r="H78" s="24" t="str">
        <f>IFERROR(VLOOKUP(B78,#REF!,12,FALSE),"")</f>
        <v/>
      </c>
    </row>
    <row r="79" spans="1:8" x14ac:dyDescent="0.2">
      <c r="A79" s="27">
        <v>73</v>
      </c>
      <c r="B79" s="28" t="s">
        <v>69</v>
      </c>
      <c r="C79" s="28" t="s">
        <v>70</v>
      </c>
      <c r="D79" s="28" t="s">
        <v>22</v>
      </c>
      <c r="E79" s="29">
        <v>810000</v>
      </c>
      <c r="F79" s="30">
        <v>2952.45</v>
      </c>
      <c r="G79" s="31">
        <v>4.5630499999999999E-3</v>
      </c>
      <c r="H79" s="24" t="str">
        <f>IFERROR(VLOOKUP(B79,#REF!,12,FALSE),"")</f>
        <v/>
      </c>
    </row>
    <row r="80" spans="1:8" x14ac:dyDescent="0.2">
      <c r="A80" s="27">
        <v>74</v>
      </c>
      <c r="B80" s="28" t="s">
        <v>278</v>
      </c>
      <c r="C80" s="28" t="s">
        <v>279</v>
      </c>
      <c r="D80" s="28" t="s">
        <v>280</v>
      </c>
      <c r="E80" s="29">
        <v>425000</v>
      </c>
      <c r="F80" s="30">
        <v>2618</v>
      </c>
      <c r="G80" s="31">
        <v>4.0461500000000001E-3</v>
      </c>
      <c r="H80" s="24" t="str">
        <f>IFERROR(VLOOKUP(B80,#REF!,12,FALSE),"")</f>
        <v/>
      </c>
    </row>
    <row r="81" spans="1:8" x14ac:dyDescent="0.2">
      <c r="A81" s="27">
        <v>75</v>
      </c>
      <c r="B81" s="28" t="s">
        <v>374</v>
      </c>
      <c r="C81" s="28" t="s">
        <v>375</v>
      </c>
      <c r="D81" s="28" t="s">
        <v>120</v>
      </c>
      <c r="E81" s="29">
        <v>1429646</v>
      </c>
      <c r="F81" s="30">
        <v>1664.2509086</v>
      </c>
      <c r="G81" s="31">
        <v>2.5721199999999998E-3</v>
      </c>
      <c r="H81" s="24" t="str">
        <f>IFERROR(VLOOKUP(B81,#REF!,12,FALSE),"")</f>
        <v/>
      </c>
    </row>
    <row r="82" spans="1:8" x14ac:dyDescent="0.2">
      <c r="A82" s="27">
        <v>76</v>
      </c>
      <c r="B82" s="28" t="s">
        <v>313</v>
      </c>
      <c r="C82" s="28" t="s">
        <v>314</v>
      </c>
      <c r="D82" s="28" t="s">
        <v>47</v>
      </c>
      <c r="E82" s="29">
        <v>91568</v>
      </c>
      <c r="F82" s="30">
        <v>1503.3634239999999</v>
      </c>
      <c r="G82" s="31">
        <v>2.3234699999999998E-3</v>
      </c>
      <c r="H82" s="24" t="str">
        <f>IFERROR(VLOOKUP(B82,#REF!,12,FALSE),"")</f>
        <v/>
      </c>
    </row>
    <row r="83" spans="1:8" x14ac:dyDescent="0.2">
      <c r="A83" s="27">
        <v>77</v>
      </c>
      <c r="B83" s="28" t="s">
        <v>203</v>
      </c>
      <c r="C83" s="28" t="s">
        <v>204</v>
      </c>
      <c r="D83" s="28" t="s">
        <v>205</v>
      </c>
      <c r="E83" s="29">
        <v>12000</v>
      </c>
      <c r="F83" s="30">
        <v>690.38400000000001</v>
      </c>
      <c r="G83" s="31">
        <v>1.067E-3</v>
      </c>
      <c r="H83" s="24" t="str">
        <f>IFERROR(VLOOKUP(B83,#REF!,12,FALSE),"")</f>
        <v/>
      </c>
    </row>
    <row r="84" spans="1:8" x14ac:dyDescent="0.2">
      <c r="A84" s="25"/>
      <c r="B84" s="25"/>
      <c r="C84" s="26" t="s">
        <v>145</v>
      </c>
      <c r="D84" s="25"/>
      <c r="E84" s="25" t="s">
        <v>146</v>
      </c>
      <c r="F84" s="32">
        <v>624609.55709869997</v>
      </c>
      <c r="G84" s="33">
        <v>0.96534162999999995</v>
      </c>
      <c r="H84" s="24" t="str">
        <f>IFERROR(VLOOKUP(B84,#REF!,12,FALSE),"")</f>
        <v/>
      </c>
    </row>
    <row r="85" spans="1:8" x14ac:dyDescent="0.2">
      <c r="A85" s="25"/>
      <c r="B85" s="25"/>
      <c r="C85" s="34"/>
      <c r="D85" s="25"/>
      <c r="E85" s="25"/>
      <c r="F85" s="35"/>
      <c r="G85" s="35"/>
      <c r="H85" s="24" t="str">
        <f>IFERROR(VLOOKUP(B85,#REF!,12,FALSE),"")</f>
        <v/>
      </c>
    </row>
    <row r="86" spans="1:8" x14ac:dyDescent="0.2">
      <c r="A86" s="25"/>
      <c r="B86" s="25"/>
      <c r="C86" s="26" t="s">
        <v>147</v>
      </c>
      <c r="D86" s="25"/>
      <c r="E86" s="25"/>
      <c r="F86" s="25"/>
      <c r="G86" s="25"/>
      <c r="H86" s="24" t="str">
        <f>IFERROR(VLOOKUP(B86,#REF!,12,FALSE),"")</f>
        <v/>
      </c>
    </row>
    <row r="87" spans="1:8" x14ac:dyDescent="0.2">
      <c r="A87" s="25"/>
      <c r="B87" s="25"/>
      <c r="C87" s="26" t="s">
        <v>145</v>
      </c>
      <c r="D87" s="25"/>
      <c r="E87" s="25" t="s">
        <v>146</v>
      </c>
      <c r="F87" s="36" t="s">
        <v>148</v>
      </c>
      <c r="G87" s="33">
        <v>0</v>
      </c>
      <c r="H87" s="24" t="str">
        <f>IFERROR(VLOOKUP(B87,#REF!,12,FALSE),"")</f>
        <v/>
      </c>
    </row>
    <row r="88" spans="1:8" x14ac:dyDescent="0.2">
      <c r="A88" s="25"/>
      <c r="B88" s="25"/>
      <c r="C88" s="34"/>
      <c r="D88" s="25"/>
      <c r="E88" s="25"/>
      <c r="F88" s="35"/>
      <c r="G88" s="35"/>
      <c r="H88" s="24" t="str">
        <f>IFERROR(VLOOKUP(B88,#REF!,12,FALSE),"")</f>
        <v/>
      </c>
    </row>
    <row r="89" spans="1:8" x14ac:dyDescent="0.2">
      <c r="A89" s="25"/>
      <c r="B89" s="25"/>
      <c r="C89" s="26" t="s">
        <v>149</v>
      </c>
      <c r="D89" s="25"/>
      <c r="E89" s="25"/>
      <c r="F89" s="25"/>
      <c r="G89" s="25"/>
      <c r="H89" s="24" t="str">
        <f>IFERROR(VLOOKUP(B89,#REF!,12,FALSE),"")</f>
        <v/>
      </c>
    </row>
    <row r="90" spans="1:8" x14ac:dyDescent="0.2">
      <c r="A90" s="25"/>
      <c r="B90" s="25"/>
      <c r="C90" s="26" t="s">
        <v>145</v>
      </c>
      <c r="D90" s="25"/>
      <c r="E90" s="25" t="s">
        <v>146</v>
      </c>
      <c r="F90" s="36" t="s">
        <v>148</v>
      </c>
      <c r="G90" s="33">
        <v>0</v>
      </c>
      <c r="H90" s="24" t="str">
        <f>IFERROR(VLOOKUP(B90,#REF!,12,FALSE),"")</f>
        <v/>
      </c>
    </row>
    <row r="91" spans="1:8" x14ac:dyDescent="0.2">
      <c r="A91" s="25"/>
      <c r="B91" s="25"/>
      <c r="C91" s="34"/>
      <c r="D91" s="25"/>
      <c r="E91" s="25"/>
      <c r="F91" s="35"/>
      <c r="G91" s="35"/>
      <c r="H91" s="24" t="str">
        <f>IFERROR(VLOOKUP(B91,#REF!,12,FALSE),"")</f>
        <v/>
      </c>
    </row>
    <row r="92" spans="1:8" x14ac:dyDescent="0.2">
      <c r="A92" s="25"/>
      <c r="B92" s="25"/>
      <c r="C92" s="26" t="s">
        <v>150</v>
      </c>
      <c r="D92" s="25"/>
      <c r="E92" s="25"/>
      <c r="F92" s="25"/>
      <c r="G92" s="25"/>
      <c r="H92" s="24" t="str">
        <f>IFERROR(VLOOKUP(B92,#REF!,12,FALSE),"")</f>
        <v/>
      </c>
    </row>
    <row r="93" spans="1:8" x14ac:dyDescent="0.2">
      <c r="A93" s="25"/>
      <c r="B93" s="25"/>
      <c r="C93" s="26" t="s">
        <v>145</v>
      </c>
      <c r="D93" s="25"/>
      <c r="E93" s="25" t="s">
        <v>146</v>
      </c>
      <c r="F93" s="36" t="s">
        <v>148</v>
      </c>
      <c r="G93" s="33">
        <v>0</v>
      </c>
      <c r="H93" s="24" t="str">
        <f>IFERROR(VLOOKUP(B93,#REF!,12,FALSE),"")</f>
        <v/>
      </c>
    </row>
    <row r="94" spans="1:8" x14ac:dyDescent="0.2">
      <c r="A94" s="25"/>
      <c r="B94" s="25"/>
      <c r="C94" s="34"/>
      <c r="D94" s="25"/>
      <c r="E94" s="25"/>
      <c r="F94" s="35"/>
      <c r="G94" s="35"/>
      <c r="H94" s="24" t="str">
        <f>IFERROR(VLOOKUP(B94,#REF!,12,FALSE),"")</f>
        <v/>
      </c>
    </row>
    <row r="95" spans="1:8" x14ac:dyDescent="0.2">
      <c r="A95" s="25"/>
      <c r="B95" s="25"/>
      <c r="C95" s="26" t="s">
        <v>151</v>
      </c>
      <c r="D95" s="25"/>
      <c r="E95" s="25"/>
      <c r="F95" s="35"/>
      <c r="G95" s="35"/>
      <c r="H95" s="24" t="str">
        <f>IFERROR(VLOOKUP(B95,#REF!,12,FALSE),"")</f>
        <v/>
      </c>
    </row>
    <row r="96" spans="1:8" x14ac:dyDescent="0.2">
      <c r="A96" s="25"/>
      <c r="B96" s="25"/>
      <c r="C96" s="26" t="s">
        <v>145</v>
      </c>
      <c r="D96" s="25"/>
      <c r="E96" s="25" t="s">
        <v>146</v>
      </c>
      <c r="F96" s="36" t="s">
        <v>148</v>
      </c>
      <c r="G96" s="33">
        <v>0</v>
      </c>
      <c r="H96" s="24" t="str">
        <f>IFERROR(VLOOKUP(B96,#REF!,12,FALSE),"")</f>
        <v/>
      </c>
    </row>
    <row r="97" spans="1:8" x14ac:dyDescent="0.2">
      <c r="A97" s="25"/>
      <c r="B97" s="25"/>
      <c r="C97" s="34"/>
      <c r="D97" s="25"/>
      <c r="E97" s="25"/>
      <c r="F97" s="35"/>
      <c r="G97" s="35"/>
      <c r="H97" s="24" t="str">
        <f>IFERROR(VLOOKUP(B97,#REF!,12,FALSE),"")</f>
        <v/>
      </c>
    </row>
    <row r="98" spans="1:8" x14ac:dyDescent="0.2">
      <c r="A98" s="25"/>
      <c r="B98" s="25"/>
      <c r="C98" s="26" t="s">
        <v>152</v>
      </c>
      <c r="D98" s="25"/>
      <c r="E98" s="25"/>
      <c r="F98" s="35"/>
      <c r="G98" s="35"/>
      <c r="H98" s="24" t="str">
        <f>IFERROR(VLOOKUP(B98,#REF!,12,FALSE),"")</f>
        <v/>
      </c>
    </row>
    <row r="99" spans="1:8" x14ac:dyDescent="0.2">
      <c r="A99" s="25"/>
      <c r="B99" s="25"/>
      <c r="C99" s="26" t="s">
        <v>145</v>
      </c>
      <c r="D99" s="25"/>
      <c r="E99" s="25" t="s">
        <v>146</v>
      </c>
      <c r="F99" s="36" t="s">
        <v>148</v>
      </c>
      <c r="G99" s="33">
        <v>0</v>
      </c>
      <c r="H99" s="24" t="str">
        <f>IFERROR(VLOOKUP(B99,#REF!,12,FALSE),"")</f>
        <v/>
      </c>
    </row>
    <row r="100" spans="1:8" x14ac:dyDescent="0.2">
      <c r="A100" s="25"/>
      <c r="B100" s="25"/>
      <c r="C100" s="34"/>
      <c r="D100" s="25"/>
      <c r="E100" s="25"/>
      <c r="F100" s="35"/>
      <c r="G100" s="35"/>
      <c r="H100" s="24" t="str">
        <f>IFERROR(VLOOKUP(B100,#REF!,12,FALSE),"")</f>
        <v/>
      </c>
    </row>
    <row r="101" spans="1:8" x14ac:dyDescent="0.2">
      <c r="A101" s="25"/>
      <c r="B101" s="25"/>
      <c r="C101" s="26" t="s">
        <v>153</v>
      </c>
      <c r="D101" s="25"/>
      <c r="E101" s="25"/>
      <c r="F101" s="32">
        <v>624609.55709869997</v>
      </c>
      <c r="G101" s="33">
        <v>0.96534162999999995</v>
      </c>
      <c r="H101" s="24" t="str">
        <f>IFERROR(VLOOKUP(B101,#REF!,12,FALSE),"")</f>
        <v/>
      </c>
    </row>
    <row r="102" spans="1:8" x14ac:dyDescent="0.2">
      <c r="A102" s="25"/>
      <c r="B102" s="25"/>
      <c r="C102" s="34"/>
      <c r="D102" s="25"/>
      <c r="E102" s="25"/>
      <c r="F102" s="35"/>
      <c r="G102" s="35"/>
      <c r="H102" s="24" t="str">
        <f>IFERROR(VLOOKUP(B102,#REF!,12,FALSE),"")</f>
        <v/>
      </c>
    </row>
    <row r="103" spans="1:8" x14ac:dyDescent="0.2">
      <c r="A103" s="25"/>
      <c r="B103" s="25"/>
      <c r="C103" s="26" t="s">
        <v>154</v>
      </c>
      <c r="D103" s="25"/>
      <c r="E103" s="25"/>
      <c r="F103" s="35"/>
      <c r="G103" s="35"/>
      <c r="H103" s="24" t="str">
        <f>IFERROR(VLOOKUP(B103,#REF!,12,FALSE),"")</f>
        <v/>
      </c>
    </row>
    <row r="104" spans="1:8" x14ac:dyDescent="0.2">
      <c r="A104" s="25"/>
      <c r="B104" s="25"/>
      <c r="C104" s="26" t="s">
        <v>10</v>
      </c>
      <c r="D104" s="25"/>
      <c r="E104" s="25"/>
      <c r="F104" s="35"/>
      <c r="G104" s="35"/>
      <c r="H104" s="24" t="str">
        <f>IFERROR(VLOOKUP(B104,#REF!,12,FALSE),"")</f>
        <v/>
      </c>
    </row>
    <row r="105" spans="1:8" x14ac:dyDescent="0.2">
      <c r="A105" s="25"/>
      <c r="B105" s="25"/>
      <c r="C105" s="26" t="s">
        <v>145</v>
      </c>
      <c r="D105" s="25"/>
      <c r="E105" s="25" t="s">
        <v>146</v>
      </c>
      <c r="F105" s="36" t="s">
        <v>148</v>
      </c>
      <c r="G105" s="33">
        <v>0</v>
      </c>
      <c r="H105" s="24" t="str">
        <f>IFERROR(VLOOKUP(B105,#REF!,12,FALSE),"")</f>
        <v/>
      </c>
    </row>
    <row r="106" spans="1:8" x14ac:dyDescent="0.2">
      <c r="A106" s="25"/>
      <c r="B106" s="25"/>
      <c r="C106" s="34"/>
      <c r="D106" s="25"/>
      <c r="E106" s="25"/>
      <c r="F106" s="35"/>
      <c r="G106" s="35"/>
      <c r="H106" s="24" t="str">
        <f>IFERROR(VLOOKUP(B106,#REF!,12,FALSE),"")</f>
        <v/>
      </c>
    </row>
    <row r="107" spans="1:8" x14ac:dyDescent="0.2">
      <c r="A107" s="25"/>
      <c r="B107" s="25"/>
      <c r="C107" s="26" t="s">
        <v>155</v>
      </c>
      <c r="D107" s="25"/>
      <c r="E107" s="25"/>
      <c r="F107" s="25"/>
      <c r="G107" s="25"/>
      <c r="H107" s="24" t="str">
        <f>IFERROR(VLOOKUP(B107,#REF!,12,FALSE),"")</f>
        <v/>
      </c>
    </row>
    <row r="108" spans="1:8" x14ac:dyDescent="0.2">
      <c r="A108" s="25"/>
      <c r="B108" s="25"/>
      <c r="C108" s="26" t="s">
        <v>145</v>
      </c>
      <c r="D108" s="25"/>
      <c r="E108" s="25" t="s">
        <v>146</v>
      </c>
      <c r="F108" s="36" t="s">
        <v>148</v>
      </c>
      <c r="G108" s="33">
        <v>0</v>
      </c>
      <c r="H108" s="24" t="str">
        <f>IFERROR(VLOOKUP(B108,#REF!,12,FALSE),"")</f>
        <v/>
      </c>
    </row>
    <row r="109" spans="1:8" x14ac:dyDescent="0.2">
      <c r="A109" s="25"/>
      <c r="B109" s="25"/>
      <c r="C109" s="34"/>
      <c r="D109" s="25"/>
      <c r="E109" s="25"/>
      <c r="F109" s="35"/>
      <c r="G109" s="35"/>
      <c r="H109" s="24" t="str">
        <f>IFERROR(VLOOKUP(B109,#REF!,12,FALSE),"")</f>
        <v/>
      </c>
    </row>
    <row r="110" spans="1:8" x14ac:dyDescent="0.2">
      <c r="A110" s="25"/>
      <c r="B110" s="25"/>
      <c r="C110" s="26" t="s">
        <v>156</v>
      </c>
      <c r="D110" s="25"/>
      <c r="E110" s="25"/>
      <c r="F110" s="25"/>
      <c r="G110" s="25"/>
      <c r="H110" s="24" t="str">
        <f>IFERROR(VLOOKUP(B110,#REF!,12,FALSE),"")</f>
        <v/>
      </c>
    </row>
    <row r="111" spans="1:8" x14ac:dyDescent="0.2">
      <c r="A111" s="25"/>
      <c r="B111" s="25"/>
      <c r="C111" s="26" t="s">
        <v>145</v>
      </c>
      <c r="D111" s="25"/>
      <c r="E111" s="25" t="s">
        <v>146</v>
      </c>
      <c r="F111" s="36" t="s">
        <v>148</v>
      </c>
      <c r="G111" s="33">
        <v>0</v>
      </c>
      <c r="H111" s="24" t="str">
        <f>IFERROR(VLOOKUP(B111,#REF!,12,FALSE),"")</f>
        <v/>
      </c>
    </row>
    <row r="112" spans="1:8" x14ac:dyDescent="0.2">
      <c r="A112" s="25"/>
      <c r="B112" s="25"/>
      <c r="C112" s="34"/>
      <c r="D112" s="25"/>
      <c r="E112" s="25"/>
      <c r="F112" s="35"/>
      <c r="G112" s="35"/>
      <c r="H112" s="24" t="str">
        <f>IFERROR(VLOOKUP(B112,#REF!,12,FALSE),"")</f>
        <v/>
      </c>
    </row>
    <row r="113" spans="1:8" x14ac:dyDescent="0.2">
      <c r="A113" s="25"/>
      <c r="B113" s="25"/>
      <c r="C113" s="26" t="s">
        <v>157</v>
      </c>
      <c r="D113" s="25"/>
      <c r="E113" s="25"/>
      <c r="F113" s="35"/>
      <c r="G113" s="35"/>
      <c r="H113" s="24" t="str">
        <f>IFERROR(VLOOKUP(B113,#REF!,12,FALSE),"")</f>
        <v/>
      </c>
    </row>
    <row r="114" spans="1:8" x14ac:dyDescent="0.2">
      <c r="A114" s="25"/>
      <c r="B114" s="25"/>
      <c r="C114" s="26" t="s">
        <v>145</v>
      </c>
      <c r="D114" s="25"/>
      <c r="E114" s="25" t="s">
        <v>146</v>
      </c>
      <c r="F114" s="36" t="s">
        <v>148</v>
      </c>
      <c r="G114" s="33">
        <v>0</v>
      </c>
      <c r="H114" s="24" t="str">
        <f>IFERROR(VLOOKUP(B114,#REF!,12,FALSE),"")</f>
        <v/>
      </c>
    </row>
    <row r="115" spans="1:8" x14ac:dyDescent="0.2">
      <c r="A115" s="25"/>
      <c r="B115" s="25"/>
      <c r="C115" s="34"/>
      <c r="D115" s="25"/>
      <c r="E115" s="25"/>
      <c r="F115" s="35"/>
      <c r="G115" s="35"/>
      <c r="H115" s="24" t="str">
        <f>IFERROR(VLOOKUP(B115,#REF!,12,FALSE),"")</f>
        <v/>
      </c>
    </row>
    <row r="116" spans="1:8" x14ac:dyDescent="0.2">
      <c r="A116" s="25"/>
      <c r="B116" s="25"/>
      <c r="C116" s="26" t="s">
        <v>158</v>
      </c>
      <c r="D116" s="25"/>
      <c r="E116" s="25"/>
      <c r="F116" s="32">
        <v>0</v>
      </c>
      <c r="G116" s="33">
        <v>0</v>
      </c>
      <c r="H116" s="24" t="str">
        <f>IFERROR(VLOOKUP(B116,#REF!,12,FALSE),"")</f>
        <v/>
      </c>
    </row>
    <row r="117" spans="1:8" x14ac:dyDescent="0.2">
      <c r="A117" s="25"/>
      <c r="B117" s="25"/>
      <c r="C117" s="34"/>
      <c r="D117" s="25"/>
      <c r="E117" s="25"/>
      <c r="F117" s="35"/>
      <c r="G117" s="35"/>
      <c r="H117" s="24" t="str">
        <f>IFERROR(VLOOKUP(B117,#REF!,12,FALSE),"")</f>
        <v/>
      </c>
    </row>
    <row r="118" spans="1:8" x14ac:dyDescent="0.2">
      <c r="A118" s="25"/>
      <c r="B118" s="25"/>
      <c r="C118" s="26" t="s">
        <v>159</v>
      </c>
      <c r="D118" s="25"/>
      <c r="E118" s="25"/>
      <c r="F118" s="35"/>
      <c r="G118" s="35"/>
      <c r="H118" s="24" t="str">
        <f>IFERROR(VLOOKUP(B118,#REF!,12,FALSE),"")</f>
        <v/>
      </c>
    </row>
    <row r="119" spans="1:8" x14ac:dyDescent="0.2">
      <c r="A119" s="25"/>
      <c r="B119" s="25"/>
      <c r="C119" s="26" t="s">
        <v>160</v>
      </c>
      <c r="D119" s="25"/>
      <c r="E119" s="25"/>
      <c r="F119" s="35"/>
      <c r="G119" s="35"/>
      <c r="H119" s="24" t="str">
        <f>IFERROR(VLOOKUP(B119,#REF!,12,FALSE),"")</f>
        <v/>
      </c>
    </row>
    <row r="120" spans="1:8" x14ac:dyDescent="0.2">
      <c r="A120" s="25"/>
      <c r="B120" s="25"/>
      <c r="C120" s="26" t="s">
        <v>145</v>
      </c>
      <c r="D120" s="25"/>
      <c r="E120" s="25" t="s">
        <v>146</v>
      </c>
      <c r="F120" s="36" t="s">
        <v>148</v>
      </c>
      <c r="G120" s="33">
        <v>0</v>
      </c>
      <c r="H120" s="24" t="str">
        <f>IFERROR(VLOOKUP(B120,#REF!,12,FALSE),"")</f>
        <v/>
      </c>
    </row>
    <row r="121" spans="1:8" x14ac:dyDescent="0.2">
      <c r="A121" s="25"/>
      <c r="B121" s="25"/>
      <c r="C121" s="34"/>
      <c r="D121" s="25"/>
      <c r="E121" s="25"/>
      <c r="F121" s="35"/>
      <c r="G121" s="35"/>
      <c r="H121" s="24" t="str">
        <f>IFERROR(VLOOKUP(B121,#REF!,12,FALSE),"")</f>
        <v/>
      </c>
    </row>
    <row r="122" spans="1:8" x14ac:dyDescent="0.2">
      <c r="A122" s="25"/>
      <c r="B122" s="25"/>
      <c r="C122" s="26" t="s">
        <v>161</v>
      </c>
      <c r="D122" s="25"/>
      <c r="E122" s="25"/>
      <c r="F122" s="35"/>
      <c r="G122" s="35"/>
      <c r="H122" s="24" t="str">
        <f>IFERROR(VLOOKUP(B122,#REF!,12,FALSE),"")</f>
        <v/>
      </c>
    </row>
    <row r="123" spans="1:8" x14ac:dyDescent="0.2">
      <c r="A123" s="25"/>
      <c r="B123" s="25"/>
      <c r="C123" s="26" t="s">
        <v>145</v>
      </c>
      <c r="D123" s="25"/>
      <c r="E123" s="25" t="s">
        <v>146</v>
      </c>
      <c r="F123" s="36" t="s">
        <v>148</v>
      </c>
      <c r="G123" s="33">
        <v>0</v>
      </c>
      <c r="H123" s="24" t="str">
        <f>IFERROR(VLOOKUP(B123,#REF!,12,FALSE),"")</f>
        <v/>
      </c>
    </row>
    <row r="124" spans="1:8" x14ac:dyDescent="0.2">
      <c r="A124" s="25"/>
      <c r="B124" s="25"/>
      <c r="C124" s="34"/>
      <c r="D124" s="25"/>
      <c r="E124" s="25"/>
      <c r="F124" s="35"/>
      <c r="G124" s="35"/>
      <c r="H124" s="24" t="str">
        <f>IFERROR(VLOOKUP(B124,#REF!,12,FALSE),"")</f>
        <v/>
      </c>
    </row>
    <row r="125" spans="1:8" x14ac:dyDescent="0.2">
      <c r="A125" s="25"/>
      <c r="B125" s="25"/>
      <c r="C125" s="26" t="s">
        <v>162</v>
      </c>
      <c r="D125" s="25"/>
      <c r="E125" s="25"/>
      <c r="F125" s="35"/>
      <c r="G125" s="35"/>
      <c r="H125" s="24" t="str">
        <f>IFERROR(VLOOKUP(B125,#REF!,12,FALSE),"")</f>
        <v/>
      </c>
    </row>
    <row r="126" spans="1:8" x14ac:dyDescent="0.2">
      <c r="A126" s="25"/>
      <c r="B126" s="25"/>
      <c r="C126" s="26" t="s">
        <v>145</v>
      </c>
      <c r="D126" s="25"/>
      <c r="E126" s="25" t="s">
        <v>146</v>
      </c>
      <c r="F126" s="36" t="s">
        <v>148</v>
      </c>
      <c r="G126" s="33">
        <v>0</v>
      </c>
      <c r="H126" s="24" t="str">
        <f>IFERROR(VLOOKUP(B126,#REF!,12,FALSE),"")</f>
        <v/>
      </c>
    </row>
    <row r="127" spans="1:8" x14ac:dyDescent="0.2">
      <c r="A127" s="25"/>
      <c r="B127" s="25"/>
      <c r="C127" s="34"/>
      <c r="D127" s="25"/>
      <c r="E127" s="25"/>
      <c r="F127" s="35"/>
      <c r="G127" s="35"/>
      <c r="H127" s="24" t="str">
        <f>IFERROR(VLOOKUP(B127,#REF!,12,FALSE),"")</f>
        <v/>
      </c>
    </row>
    <row r="128" spans="1:8" x14ac:dyDescent="0.2">
      <c r="A128" s="25"/>
      <c r="B128" s="25"/>
      <c r="C128" s="26" t="s">
        <v>163</v>
      </c>
      <c r="D128" s="25"/>
      <c r="E128" s="25"/>
      <c r="F128" s="35"/>
      <c r="G128" s="35"/>
      <c r="H128" s="24" t="str">
        <f>IFERROR(VLOOKUP(B128,#REF!,12,FALSE),"")</f>
        <v/>
      </c>
    </row>
    <row r="129" spans="1:8" x14ac:dyDescent="0.2">
      <c r="A129" s="27">
        <v>1</v>
      </c>
      <c r="B129" s="28"/>
      <c r="C129" s="28" t="s">
        <v>164</v>
      </c>
      <c r="D129" s="28"/>
      <c r="E129" s="38"/>
      <c r="F129" s="30">
        <v>18322.282761939001</v>
      </c>
      <c r="G129" s="31">
        <v>2.8317309999999998E-2</v>
      </c>
      <c r="H129" s="24">
        <v>6.57</v>
      </c>
    </row>
    <row r="130" spans="1:8" x14ac:dyDescent="0.2">
      <c r="A130" s="25"/>
      <c r="B130" s="25"/>
      <c r="C130" s="26" t="s">
        <v>145</v>
      </c>
      <c r="D130" s="25"/>
      <c r="E130" s="25" t="s">
        <v>146</v>
      </c>
      <c r="F130" s="32">
        <v>18322.282761939001</v>
      </c>
      <c r="G130" s="33">
        <v>2.8317309999999998E-2</v>
      </c>
      <c r="H130" s="24" t="str">
        <f>IFERROR(VLOOKUP(B130,#REF!,12,FALSE),"")</f>
        <v/>
      </c>
    </row>
    <row r="131" spans="1:8" x14ac:dyDescent="0.2">
      <c r="A131" s="25"/>
      <c r="B131" s="25"/>
      <c r="C131" s="34"/>
      <c r="D131" s="25"/>
      <c r="E131" s="25"/>
      <c r="F131" s="35"/>
      <c r="G131" s="35"/>
      <c r="H131" s="24" t="str">
        <f>IFERROR(VLOOKUP(B131,#REF!,12,FALSE),"")</f>
        <v/>
      </c>
    </row>
    <row r="132" spans="1:8" x14ac:dyDescent="0.2">
      <c r="A132" s="25"/>
      <c r="B132" s="25"/>
      <c r="C132" s="26" t="s">
        <v>165</v>
      </c>
      <c r="D132" s="25"/>
      <c r="E132" s="25"/>
      <c r="F132" s="32">
        <v>18322.282761939001</v>
      </c>
      <c r="G132" s="33">
        <v>2.8317309999999998E-2</v>
      </c>
      <c r="H132" s="24" t="str">
        <f>IFERROR(VLOOKUP(B132,#REF!,12,FALSE),"")</f>
        <v/>
      </c>
    </row>
    <row r="133" spans="1:8" x14ac:dyDescent="0.2">
      <c r="A133" s="25"/>
      <c r="B133" s="25"/>
      <c r="C133" s="35"/>
      <c r="D133" s="25"/>
      <c r="E133" s="25"/>
      <c r="F133" s="25"/>
      <c r="G133" s="25"/>
      <c r="H133" s="24" t="str">
        <f>IFERROR(VLOOKUP(B133,#REF!,12,FALSE),"")</f>
        <v/>
      </c>
    </row>
    <row r="134" spans="1:8" x14ac:dyDescent="0.2">
      <c r="A134" s="25"/>
      <c r="B134" s="25"/>
      <c r="C134" s="26" t="s">
        <v>166</v>
      </c>
      <c r="D134" s="25"/>
      <c r="E134" s="25"/>
      <c r="F134" s="25"/>
      <c r="G134" s="25"/>
      <c r="H134" s="24" t="str">
        <f>IFERROR(VLOOKUP(B134,#REF!,12,FALSE),"")</f>
        <v/>
      </c>
    </row>
    <row r="135" spans="1:8" x14ac:dyDescent="0.2">
      <c r="A135" s="25"/>
      <c r="B135" s="25"/>
      <c r="C135" s="26" t="s">
        <v>167</v>
      </c>
      <c r="D135" s="25"/>
      <c r="E135" s="25"/>
      <c r="F135" s="25"/>
      <c r="G135" s="25"/>
      <c r="H135" s="24" t="str">
        <f>IFERROR(VLOOKUP(B135,#REF!,12,FALSE),"")</f>
        <v/>
      </c>
    </row>
    <row r="136" spans="1:8" x14ac:dyDescent="0.2">
      <c r="A136" s="25"/>
      <c r="B136" s="25"/>
      <c r="C136" s="26" t="s">
        <v>145</v>
      </c>
      <c r="D136" s="25"/>
      <c r="E136" s="25" t="s">
        <v>146</v>
      </c>
      <c r="F136" s="36" t="s">
        <v>148</v>
      </c>
      <c r="G136" s="33">
        <v>0</v>
      </c>
      <c r="H136" s="24" t="str">
        <f>IFERROR(VLOOKUP(B136,#REF!,12,FALSE),"")</f>
        <v/>
      </c>
    </row>
    <row r="137" spans="1:8" x14ac:dyDescent="0.2">
      <c r="A137" s="25"/>
      <c r="B137" s="25"/>
      <c r="C137" s="34"/>
      <c r="D137" s="25"/>
      <c r="E137" s="25"/>
      <c r="F137" s="35"/>
      <c r="G137" s="35"/>
      <c r="H137" s="24" t="str">
        <f>IFERROR(VLOOKUP(B137,#REF!,12,FALSE),"")</f>
        <v/>
      </c>
    </row>
    <row r="138" spans="1:8" x14ac:dyDescent="0.2">
      <c r="A138" s="25"/>
      <c r="B138" s="25"/>
      <c r="C138" s="26" t="s">
        <v>168</v>
      </c>
      <c r="D138" s="25"/>
      <c r="E138" s="25"/>
      <c r="F138" s="25"/>
      <c r="G138" s="25"/>
      <c r="H138" s="24" t="str">
        <f>IFERROR(VLOOKUP(B138,#REF!,12,FALSE),"")</f>
        <v/>
      </c>
    </row>
    <row r="139" spans="1:8" x14ac:dyDescent="0.2">
      <c r="A139" s="25"/>
      <c r="B139" s="25"/>
      <c r="C139" s="26" t="s">
        <v>169</v>
      </c>
      <c r="D139" s="25"/>
      <c r="E139" s="25"/>
      <c r="F139" s="25"/>
      <c r="G139" s="25"/>
      <c r="H139" s="24" t="str">
        <f>IFERROR(VLOOKUP(B139,#REF!,12,FALSE),"")</f>
        <v/>
      </c>
    </row>
    <row r="140" spans="1:8" x14ac:dyDescent="0.2">
      <c r="A140" s="25"/>
      <c r="B140" s="25"/>
      <c r="C140" s="26" t="s">
        <v>145</v>
      </c>
      <c r="D140" s="25"/>
      <c r="E140" s="25" t="s">
        <v>146</v>
      </c>
      <c r="F140" s="36" t="s">
        <v>148</v>
      </c>
      <c r="G140" s="33">
        <v>0</v>
      </c>
      <c r="H140" s="24" t="str">
        <f>IFERROR(VLOOKUP(B140,#REF!,12,FALSE),"")</f>
        <v/>
      </c>
    </row>
    <row r="141" spans="1:8" x14ac:dyDescent="0.2">
      <c r="A141" s="25"/>
      <c r="B141" s="25"/>
      <c r="C141" s="34"/>
      <c r="D141" s="25"/>
      <c r="E141" s="25"/>
      <c r="F141" s="35"/>
      <c r="G141" s="35"/>
      <c r="H141" s="24" t="str">
        <f>IFERROR(VLOOKUP(B141,#REF!,12,FALSE),"")</f>
        <v/>
      </c>
    </row>
    <row r="142" spans="1:8" x14ac:dyDescent="0.2">
      <c r="A142" s="25"/>
      <c r="B142" s="25"/>
      <c r="C142" s="26" t="s">
        <v>170</v>
      </c>
      <c r="D142" s="25"/>
      <c r="E142" s="25"/>
      <c r="F142" s="35"/>
      <c r="G142" s="35"/>
      <c r="H142" s="24" t="str">
        <f>IFERROR(VLOOKUP(B142,#REF!,12,FALSE),"")</f>
        <v/>
      </c>
    </row>
    <row r="143" spans="1:8" x14ac:dyDescent="0.2">
      <c r="A143" s="25"/>
      <c r="B143" s="25"/>
      <c r="C143" s="26" t="s">
        <v>145</v>
      </c>
      <c r="D143" s="25"/>
      <c r="E143" s="25" t="s">
        <v>146</v>
      </c>
      <c r="F143" s="36" t="s">
        <v>148</v>
      </c>
      <c r="G143" s="33">
        <v>0</v>
      </c>
      <c r="H143" s="24" t="str">
        <f>IFERROR(VLOOKUP(B143,#REF!,12,FALSE),"")</f>
        <v/>
      </c>
    </row>
    <row r="144" spans="1:8" x14ac:dyDescent="0.2">
      <c r="A144" s="25"/>
      <c r="B144" s="25"/>
      <c r="C144" s="34"/>
      <c r="D144" s="25"/>
      <c r="E144" s="25"/>
      <c r="F144" s="35"/>
      <c r="G144" s="35"/>
      <c r="H144" s="24" t="str">
        <f>IFERROR(VLOOKUP(B144,#REF!,12,FALSE),"")</f>
        <v/>
      </c>
    </row>
    <row r="145" spans="1:17" x14ac:dyDescent="0.2">
      <c r="A145" s="38"/>
      <c r="B145" s="28"/>
      <c r="C145" s="28" t="s">
        <v>171</v>
      </c>
      <c r="D145" s="28"/>
      <c r="E145" s="38"/>
      <c r="F145" s="30">
        <v>4102.9011330100002</v>
      </c>
      <c r="G145" s="31">
        <v>6.3410799999999998E-3</v>
      </c>
      <c r="H145" s="24" t="str">
        <f>IFERROR(VLOOKUP(B145,#REF!,12,FALSE),"")</f>
        <v/>
      </c>
    </row>
    <row r="146" spans="1:17" x14ac:dyDescent="0.2">
      <c r="A146" s="34"/>
      <c r="B146" s="34"/>
      <c r="C146" s="26" t="s">
        <v>172</v>
      </c>
      <c r="D146" s="35"/>
      <c r="E146" s="35"/>
      <c r="F146" s="32">
        <v>647034.740993649</v>
      </c>
      <c r="G146" s="39">
        <v>1.0000000200000001</v>
      </c>
      <c r="H146" s="24" t="str">
        <f>IFERROR(VLOOKUP(B146,#REF!,12,FALSE),"")</f>
        <v/>
      </c>
    </row>
    <row r="147" spans="1:17" x14ac:dyDescent="0.2">
      <c r="A147" s="40"/>
      <c r="B147" s="40"/>
      <c r="C147" s="40"/>
      <c r="D147" s="41"/>
      <c r="E147" s="41"/>
      <c r="F147" s="41"/>
      <c r="G147" s="41"/>
    </row>
    <row r="148" spans="1:17" x14ac:dyDescent="0.2">
      <c r="A148" s="42"/>
      <c r="B148" s="236" t="s">
        <v>858</v>
      </c>
      <c r="C148" s="236"/>
      <c r="D148" s="236"/>
      <c r="E148" s="236"/>
      <c r="F148" s="236"/>
      <c r="G148" s="236"/>
      <c r="H148" s="236"/>
      <c r="J148" s="44"/>
    </row>
    <row r="149" spans="1:17" x14ac:dyDescent="0.2">
      <c r="A149" s="42"/>
      <c r="B149" s="236" t="s">
        <v>859</v>
      </c>
      <c r="C149" s="236"/>
      <c r="D149" s="236"/>
      <c r="E149" s="236"/>
      <c r="F149" s="236"/>
      <c r="G149" s="236"/>
      <c r="H149" s="236"/>
      <c r="J149" s="44"/>
    </row>
    <row r="150" spans="1:17" x14ac:dyDescent="0.2">
      <c r="A150" s="42"/>
      <c r="B150" s="236" t="s">
        <v>860</v>
      </c>
      <c r="C150" s="236"/>
      <c r="D150" s="236"/>
      <c r="E150" s="236"/>
      <c r="F150" s="236"/>
      <c r="G150" s="236"/>
      <c r="H150" s="236"/>
      <c r="J150" s="44"/>
    </row>
    <row r="151" spans="1:17" s="46" customFormat="1" ht="66.75" customHeight="1" x14ac:dyDescent="0.25">
      <c r="A151" s="45"/>
      <c r="B151" s="237" t="s">
        <v>861</v>
      </c>
      <c r="C151" s="237"/>
      <c r="D151" s="237"/>
      <c r="E151" s="237"/>
      <c r="F151" s="237"/>
      <c r="G151" s="237"/>
      <c r="H151" s="237"/>
      <c r="I151"/>
      <c r="J151" s="44"/>
      <c r="K151"/>
      <c r="L151"/>
      <c r="M151"/>
      <c r="N151"/>
      <c r="O151"/>
      <c r="P151"/>
      <c r="Q151"/>
    </row>
    <row r="152" spans="1:17" x14ac:dyDescent="0.2">
      <c r="A152" s="42"/>
      <c r="B152" s="236" t="s">
        <v>862</v>
      </c>
      <c r="C152" s="236"/>
      <c r="D152" s="236"/>
      <c r="E152" s="236"/>
      <c r="F152" s="236"/>
      <c r="G152" s="236"/>
      <c r="H152" s="236"/>
      <c r="J152" s="44"/>
    </row>
    <row r="153" spans="1:17" x14ac:dyDescent="0.2">
      <c r="A153" s="47"/>
      <c r="B153" s="241" t="s">
        <v>146</v>
      </c>
      <c r="C153" s="241"/>
      <c r="D153" s="241"/>
      <c r="E153" s="241"/>
      <c r="F153" s="241"/>
      <c r="G153" s="48"/>
    </row>
    <row r="154" spans="1:17" x14ac:dyDescent="0.2">
      <c r="A154" s="47"/>
      <c r="B154" s="233" t="s">
        <v>173</v>
      </c>
      <c r="C154" s="234"/>
      <c r="D154" s="235"/>
      <c r="E154" s="49"/>
      <c r="F154" s="48"/>
      <c r="G154" s="48"/>
    </row>
    <row r="155" spans="1:17" ht="26.25" customHeight="1" x14ac:dyDescent="0.2">
      <c r="A155" s="47"/>
      <c r="B155" s="231" t="s">
        <v>174</v>
      </c>
      <c r="C155" s="232"/>
      <c r="D155" s="26" t="s">
        <v>175</v>
      </c>
      <c r="E155" s="49"/>
      <c r="F155" s="48"/>
      <c r="G155" s="48"/>
    </row>
    <row r="156" spans="1:17" x14ac:dyDescent="0.2">
      <c r="A156" s="47"/>
      <c r="B156" s="231" t="s">
        <v>863</v>
      </c>
      <c r="C156" s="232"/>
      <c r="D156" s="26" t="s">
        <v>175</v>
      </c>
      <c r="E156" s="49"/>
      <c r="F156" s="48"/>
      <c r="G156" s="48"/>
    </row>
    <row r="157" spans="1:17" x14ac:dyDescent="0.2">
      <c r="A157" s="47"/>
      <c r="B157" s="231" t="s">
        <v>176</v>
      </c>
      <c r="C157" s="232"/>
      <c r="D157" s="35" t="s">
        <v>146</v>
      </c>
      <c r="E157" s="49"/>
      <c r="F157" s="48"/>
      <c r="G157" s="48"/>
    </row>
    <row r="158" spans="1:17" x14ac:dyDescent="0.2">
      <c r="A158" s="53"/>
      <c r="B158" s="54" t="s">
        <v>146</v>
      </c>
      <c r="C158" s="54" t="s">
        <v>864</v>
      </c>
      <c r="D158" s="54" t="s">
        <v>177</v>
      </c>
      <c r="E158" s="53"/>
      <c r="F158" s="53"/>
      <c r="G158" s="53"/>
      <c r="H158" s="53"/>
      <c r="J158" s="44"/>
    </row>
    <row r="159" spans="1:17" x14ac:dyDescent="0.2">
      <c r="A159" s="53"/>
      <c r="B159" s="55" t="s">
        <v>178</v>
      </c>
      <c r="C159" s="56">
        <v>45657</v>
      </c>
      <c r="D159" s="56">
        <v>45688</v>
      </c>
      <c r="E159" s="53"/>
      <c r="F159" s="53"/>
      <c r="G159" s="53"/>
      <c r="J159" s="44"/>
    </row>
    <row r="160" spans="1:17" x14ac:dyDescent="0.2">
      <c r="A160" s="57"/>
      <c r="B160" s="28" t="s">
        <v>179</v>
      </c>
      <c r="C160" s="58">
        <v>95.304400000000001</v>
      </c>
      <c r="D160" s="58">
        <v>89.251300000000001</v>
      </c>
      <c r="E160" s="57"/>
      <c r="F160" s="59"/>
      <c r="G160" s="60"/>
    </row>
    <row r="161" spans="1:7" x14ac:dyDescent="0.2">
      <c r="A161" s="57"/>
      <c r="B161" s="28" t="s">
        <v>1025</v>
      </c>
      <c r="C161" s="58">
        <v>35.229399999999998</v>
      </c>
      <c r="D161" s="58">
        <v>32.991799999999998</v>
      </c>
      <c r="E161" s="57"/>
      <c r="F161" s="59"/>
      <c r="G161" s="60"/>
    </row>
    <row r="162" spans="1:7" x14ac:dyDescent="0.2">
      <c r="A162" s="57"/>
      <c r="B162" s="28" t="s">
        <v>180</v>
      </c>
      <c r="C162" s="58">
        <v>85.2089</v>
      </c>
      <c r="D162" s="58">
        <v>79.726100000000002</v>
      </c>
      <c r="E162" s="57"/>
      <c r="F162" s="59"/>
      <c r="G162" s="60"/>
    </row>
    <row r="163" spans="1:7" x14ac:dyDescent="0.2">
      <c r="A163" s="57"/>
      <c r="B163" s="28" t="s">
        <v>1026</v>
      </c>
      <c r="C163" s="58">
        <v>30.831099999999999</v>
      </c>
      <c r="D163" s="58">
        <v>28.847200000000001</v>
      </c>
      <c r="E163" s="57"/>
      <c r="F163" s="59"/>
      <c r="G163" s="60"/>
    </row>
    <row r="164" spans="1:7" x14ac:dyDescent="0.2">
      <c r="A164" s="57"/>
      <c r="B164" s="57"/>
      <c r="C164" s="57"/>
      <c r="D164" s="57"/>
      <c r="E164" s="57"/>
      <c r="F164" s="57"/>
      <c r="G164" s="57"/>
    </row>
    <row r="165" spans="1:7" x14ac:dyDescent="0.2">
      <c r="A165" s="53"/>
      <c r="B165" s="227" t="s">
        <v>865</v>
      </c>
      <c r="C165" s="228"/>
      <c r="D165" s="50" t="s">
        <v>175</v>
      </c>
      <c r="E165" s="53"/>
      <c r="F165" s="53"/>
      <c r="G165" s="53"/>
    </row>
    <row r="166" spans="1:7" x14ac:dyDescent="0.2">
      <c r="A166" s="53"/>
      <c r="B166" s="43"/>
      <c r="C166" s="43"/>
      <c r="D166" s="53"/>
      <c r="E166" s="53"/>
      <c r="F166" s="53"/>
      <c r="G166" s="53"/>
    </row>
    <row r="167" spans="1:7" x14ac:dyDescent="0.2">
      <c r="A167" s="53"/>
      <c r="B167" s="227" t="s">
        <v>181</v>
      </c>
      <c r="C167" s="228"/>
      <c r="D167" s="50" t="s">
        <v>175</v>
      </c>
      <c r="E167" s="64"/>
      <c r="F167" s="53"/>
      <c r="G167" s="53"/>
    </row>
    <row r="168" spans="1:7" x14ac:dyDescent="0.2">
      <c r="A168" s="53"/>
      <c r="B168" s="227" t="s">
        <v>182</v>
      </c>
      <c r="C168" s="228"/>
      <c r="D168" s="50" t="s">
        <v>175</v>
      </c>
      <c r="E168" s="64"/>
      <c r="F168" s="53"/>
      <c r="G168" s="53"/>
    </row>
    <row r="169" spans="1:7" x14ac:dyDescent="0.2">
      <c r="A169" s="53"/>
      <c r="B169" s="227" t="s">
        <v>183</v>
      </c>
      <c r="C169" s="228"/>
      <c r="D169" s="50" t="s">
        <v>175</v>
      </c>
      <c r="E169" s="64"/>
      <c r="F169" s="53"/>
      <c r="G169" s="53"/>
    </row>
    <row r="170" spans="1:7" x14ac:dyDescent="0.2">
      <c r="A170" s="53"/>
      <c r="B170" s="227" t="s">
        <v>184</v>
      </c>
      <c r="C170" s="228"/>
      <c r="D170" s="65">
        <v>0.42659180615780029</v>
      </c>
      <c r="E170" s="53"/>
      <c r="F170" s="43"/>
      <c r="G170" s="63"/>
    </row>
    <row r="172" spans="1:7" x14ac:dyDescent="0.2">
      <c r="B172" s="229" t="s">
        <v>866</v>
      </c>
      <c r="C172" s="229"/>
    </row>
    <row r="187" spans="2:10" x14ac:dyDescent="0.2">
      <c r="B187" s="66" t="s">
        <v>867</v>
      </c>
      <c r="C187" s="67"/>
      <c r="D187" s="66" t="s">
        <v>870</v>
      </c>
    </row>
    <row r="188" spans="2:10" x14ac:dyDescent="0.2">
      <c r="B188" s="66" t="s">
        <v>873</v>
      </c>
      <c r="D188" s="66" t="s">
        <v>873</v>
      </c>
    </row>
    <row r="191" spans="2:10" x14ac:dyDescent="0.2">
      <c r="J191" s="21"/>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sheetData>
  <mergeCells count="19">
    <mergeCell ref="A1:H1"/>
    <mergeCell ref="A2:H2"/>
    <mergeCell ref="A3:H3"/>
    <mergeCell ref="B156:C156"/>
    <mergeCell ref="B157:C157"/>
    <mergeCell ref="B153:F153"/>
    <mergeCell ref="B154:D154"/>
    <mergeCell ref="B155:C155"/>
    <mergeCell ref="B148:H148"/>
    <mergeCell ref="B149:H149"/>
    <mergeCell ref="B150:H150"/>
    <mergeCell ref="B151:H151"/>
    <mergeCell ref="B152:H152"/>
    <mergeCell ref="B167:C167"/>
    <mergeCell ref="B168:C168"/>
    <mergeCell ref="B172:C172"/>
    <mergeCell ref="B165:C165"/>
    <mergeCell ref="B169:C169"/>
    <mergeCell ref="B170:C170"/>
  </mergeCells>
  <hyperlinks>
    <hyperlink ref="I1" location="Index!B2" display="Index" xr:uid="{F26E00DE-7F45-4168-8524-7189979A00A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632C-953D-4259-B845-9E6165BE43EF}">
  <sheetPr>
    <outlinePr summaryBelow="0" summaryRight="0"/>
  </sheetPr>
  <dimension ref="A1:Q158"/>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376</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tr">
        <f>IFERROR(VLOOKUP(B5,#REF!,12,FALSE),"")</f>
        <v/>
      </c>
    </row>
    <row r="6" spans="1:9" x14ac:dyDescent="0.2">
      <c r="A6" s="25"/>
      <c r="B6" s="25"/>
      <c r="C6" s="26" t="s">
        <v>10</v>
      </c>
      <c r="D6" s="25"/>
      <c r="E6" s="25"/>
      <c r="F6" s="25"/>
      <c r="G6" s="25"/>
      <c r="H6" s="24" t="str">
        <f>IFERROR(VLOOKUP(B6,#REF!,12,FALSE),"")</f>
        <v/>
      </c>
    </row>
    <row r="7" spans="1:9" x14ac:dyDescent="0.2">
      <c r="A7" s="27">
        <v>1</v>
      </c>
      <c r="B7" s="28" t="s">
        <v>350</v>
      </c>
      <c r="C7" s="28" t="s">
        <v>351</v>
      </c>
      <c r="D7" s="28" t="s">
        <v>233</v>
      </c>
      <c r="E7" s="29">
        <v>2896</v>
      </c>
      <c r="F7" s="30">
        <v>166.02623199999999</v>
      </c>
      <c r="G7" s="31">
        <v>5.0428750000000001E-2</v>
      </c>
      <c r="H7" s="24" t="str">
        <f>IFERROR(VLOOKUP(B7,#REF!,12,FALSE),"")</f>
        <v/>
      </c>
    </row>
    <row r="8" spans="1:9" x14ac:dyDescent="0.2">
      <c r="A8" s="27">
        <v>2</v>
      </c>
      <c r="B8" s="28" t="s">
        <v>52</v>
      </c>
      <c r="C8" s="28" t="s">
        <v>53</v>
      </c>
      <c r="D8" s="28" t="s">
        <v>42</v>
      </c>
      <c r="E8" s="29">
        <v>4013</v>
      </c>
      <c r="F8" s="30">
        <v>161.46706800000001</v>
      </c>
      <c r="G8" s="31">
        <v>4.9043950000000003E-2</v>
      </c>
      <c r="H8" s="24" t="str">
        <f>IFERROR(VLOOKUP(B8,#REF!,12,FALSE),"")</f>
        <v/>
      </c>
    </row>
    <row r="9" spans="1:9" x14ac:dyDescent="0.2">
      <c r="A9" s="27">
        <v>3</v>
      </c>
      <c r="B9" s="28" t="s">
        <v>377</v>
      </c>
      <c r="C9" s="28" t="s">
        <v>378</v>
      </c>
      <c r="D9" s="28" t="s">
        <v>208</v>
      </c>
      <c r="E9" s="29">
        <v>31964</v>
      </c>
      <c r="F9" s="30">
        <v>157.11904200000001</v>
      </c>
      <c r="G9" s="31">
        <v>4.7723290000000002E-2</v>
      </c>
      <c r="H9" s="24" t="str">
        <f>IFERROR(VLOOKUP(B9,#REF!,12,FALSE),"")</f>
        <v/>
      </c>
    </row>
    <row r="10" spans="1:9" x14ac:dyDescent="0.2">
      <c r="A10" s="27">
        <v>4</v>
      </c>
      <c r="B10" s="28" t="s">
        <v>133</v>
      </c>
      <c r="C10" s="28" t="s">
        <v>134</v>
      </c>
      <c r="D10" s="28" t="s">
        <v>39</v>
      </c>
      <c r="E10" s="29">
        <v>43192</v>
      </c>
      <c r="F10" s="30">
        <v>150.52412000000001</v>
      </c>
      <c r="G10" s="31">
        <v>4.5720150000000001E-2</v>
      </c>
      <c r="H10" s="24" t="str">
        <f>IFERROR(VLOOKUP(B10,#REF!,12,FALSE),"")</f>
        <v/>
      </c>
    </row>
    <row r="11" spans="1:9" x14ac:dyDescent="0.2">
      <c r="A11" s="27">
        <v>5</v>
      </c>
      <c r="B11" s="28" t="s">
        <v>379</v>
      </c>
      <c r="C11" s="28" t="s">
        <v>380</v>
      </c>
      <c r="D11" s="28" t="s">
        <v>39</v>
      </c>
      <c r="E11" s="29">
        <v>6144</v>
      </c>
      <c r="F11" s="30">
        <v>148.07040000000001</v>
      </c>
      <c r="G11" s="31">
        <v>4.4974849999999997E-2</v>
      </c>
      <c r="H11" s="24" t="str">
        <f>IFERROR(VLOOKUP(B11,#REF!,12,FALSE),"")</f>
        <v/>
      </c>
    </row>
    <row r="12" spans="1:9" x14ac:dyDescent="0.2">
      <c r="A12" s="27">
        <v>6</v>
      </c>
      <c r="B12" s="28" t="s">
        <v>352</v>
      </c>
      <c r="C12" s="28" t="s">
        <v>353</v>
      </c>
      <c r="D12" s="28" t="s">
        <v>354</v>
      </c>
      <c r="E12" s="29">
        <v>9566</v>
      </c>
      <c r="F12" s="30">
        <v>144.250497</v>
      </c>
      <c r="G12" s="31">
        <v>4.3814600000000002E-2</v>
      </c>
      <c r="H12" s="24" t="str">
        <f>IFERROR(VLOOKUP(B12,#REF!,12,FALSE),"")</f>
        <v/>
      </c>
    </row>
    <row r="13" spans="1:9" x14ac:dyDescent="0.2">
      <c r="A13" s="27">
        <v>7</v>
      </c>
      <c r="B13" s="28" t="s">
        <v>67</v>
      </c>
      <c r="C13" s="28" t="s">
        <v>68</v>
      </c>
      <c r="D13" s="28" t="s">
        <v>42</v>
      </c>
      <c r="E13" s="29">
        <v>18540</v>
      </c>
      <c r="F13" s="30">
        <v>130.25277</v>
      </c>
      <c r="G13" s="31">
        <v>3.9562930000000003E-2</v>
      </c>
      <c r="H13" s="24" t="str">
        <f>IFERROR(VLOOKUP(B13,#REF!,12,FALSE),"")</f>
        <v/>
      </c>
    </row>
    <row r="14" spans="1:9" x14ac:dyDescent="0.2">
      <c r="A14" s="27">
        <v>8</v>
      </c>
      <c r="B14" s="28" t="s">
        <v>381</v>
      </c>
      <c r="C14" s="28" t="s">
        <v>382</v>
      </c>
      <c r="D14" s="28" t="s">
        <v>223</v>
      </c>
      <c r="E14" s="29">
        <v>44850</v>
      </c>
      <c r="F14" s="30">
        <v>129.88560000000001</v>
      </c>
      <c r="G14" s="31">
        <v>3.9451409999999999E-2</v>
      </c>
      <c r="H14" s="24" t="str">
        <f>IFERROR(VLOOKUP(B14,#REF!,12,FALSE),"")</f>
        <v/>
      </c>
    </row>
    <row r="15" spans="1:9" ht="25.5" x14ac:dyDescent="0.2">
      <c r="A15" s="27">
        <v>9</v>
      </c>
      <c r="B15" s="28" t="s">
        <v>301</v>
      </c>
      <c r="C15" s="28" t="s">
        <v>302</v>
      </c>
      <c r="D15" s="28" t="s">
        <v>258</v>
      </c>
      <c r="E15" s="29">
        <v>2940</v>
      </c>
      <c r="F15" s="30">
        <v>121.97178</v>
      </c>
      <c r="G15" s="31">
        <v>3.7047669999999998E-2</v>
      </c>
      <c r="H15" s="24" t="str">
        <f>IFERROR(VLOOKUP(B15,#REF!,12,FALSE),"")</f>
        <v/>
      </c>
    </row>
    <row r="16" spans="1:9" x14ac:dyDescent="0.2">
      <c r="A16" s="27">
        <v>10</v>
      </c>
      <c r="B16" s="28" t="s">
        <v>244</v>
      </c>
      <c r="C16" s="28" t="s">
        <v>245</v>
      </c>
      <c r="D16" s="28" t="s">
        <v>120</v>
      </c>
      <c r="E16" s="29">
        <v>1151</v>
      </c>
      <c r="F16" s="30">
        <v>107.7641015</v>
      </c>
      <c r="G16" s="31">
        <v>3.2732230000000001E-2</v>
      </c>
      <c r="H16" s="24" t="str">
        <f>IFERROR(VLOOKUP(B16,#REF!,12,FALSE),"")</f>
        <v/>
      </c>
    </row>
    <row r="17" spans="1:8" x14ac:dyDescent="0.2">
      <c r="A17" s="27">
        <v>11</v>
      </c>
      <c r="B17" s="28" t="s">
        <v>383</v>
      </c>
      <c r="C17" s="28" t="s">
        <v>384</v>
      </c>
      <c r="D17" s="28" t="s">
        <v>195</v>
      </c>
      <c r="E17" s="29">
        <v>14636</v>
      </c>
      <c r="F17" s="30">
        <v>102.327594</v>
      </c>
      <c r="G17" s="31">
        <v>3.108095E-2</v>
      </c>
      <c r="H17" s="24" t="str">
        <f>IFERROR(VLOOKUP(B17,#REF!,12,FALSE),"")</f>
        <v/>
      </c>
    </row>
    <row r="18" spans="1:8" x14ac:dyDescent="0.2">
      <c r="A18" s="27">
        <v>12</v>
      </c>
      <c r="B18" s="28" t="s">
        <v>385</v>
      </c>
      <c r="C18" s="28" t="s">
        <v>386</v>
      </c>
      <c r="D18" s="28" t="s">
        <v>33</v>
      </c>
      <c r="E18" s="29">
        <v>33313</v>
      </c>
      <c r="F18" s="30">
        <v>101.971093</v>
      </c>
      <c r="G18" s="31">
        <v>3.0972670000000001E-2</v>
      </c>
      <c r="H18" s="24" t="str">
        <f>IFERROR(VLOOKUP(B18,#REF!,12,FALSE),"")</f>
        <v/>
      </c>
    </row>
    <row r="19" spans="1:8" x14ac:dyDescent="0.2">
      <c r="A19" s="27">
        <v>13</v>
      </c>
      <c r="B19" s="28" t="s">
        <v>387</v>
      </c>
      <c r="C19" s="28" t="s">
        <v>388</v>
      </c>
      <c r="D19" s="28" t="s">
        <v>33</v>
      </c>
      <c r="E19" s="29">
        <v>149355</v>
      </c>
      <c r="F19" s="30">
        <v>99.321074999999993</v>
      </c>
      <c r="G19" s="31">
        <v>3.016775E-2</v>
      </c>
      <c r="H19" s="24" t="str">
        <f>IFERROR(VLOOKUP(B19,#REF!,12,FALSE),"")</f>
        <v/>
      </c>
    </row>
    <row r="20" spans="1:8" x14ac:dyDescent="0.2">
      <c r="A20" s="27">
        <v>14</v>
      </c>
      <c r="B20" s="28" t="s">
        <v>389</v>
      </c>
      <c r="C20" s="28" t="s">
        <v>390</v>
      </c>
      <c r="D20" s="28" t="s">
        <v>33</v>
      </c>
      <c r="E20" s="29">
        <v>268914</v>
      </c>
      <c r="F20" s="30">
        <v>96.593908799999994</v>
      </c>
      <c r="G20" s="31">
        <v>2.9339400000000002E-2</v>
      </c>
      <c r="H20" s="24" t="str">
        <f>IFERROR(VLOOKUP(B20,#REF!,12,FALSE),"")</f>
        <v/>
      </c>
    </row>
    <row r="21" spans="1:8" ht="25.5" x14ac:dyDescent="0.2">
      <c r="A21" s="27">
        <v>15</v>
      </c>
      <c r="B21" s="28" t="s">
        <v>391</v>
      </c>
      <c r="C21" s="28" t="s">
        <v>392</v>
      </c>
      <c r="D21" s="28" t="s">
        <v>198</v>
      </c>
      <c r="E21" s="29">
        <v>5362</v>
      </c>
      <c r="F21" s="30">
        <v>94.580318000000005</v>
      </c>
      <c r="G21" s="31">
        <v>2.872779E-2</v>
      </c>
      <c r="H21" s="24" t="str">
        <f>IFERROR(VLOOKUP(B21,#REF!,12,FALSE),"")</f>
        <v/>
      </c>
    </row>
    <row r="22" spans="1:8" ht="25.5" x14ac:dyDescent="0.2">
      <c r="A22" s="27">
        <v>16</v>
      </c>
      <c r="B22" s="28" t="s">
        <v>393</v>
      </c>
      <c r="C22" s="28" t="s">
        <v>394</v>
      </c>
      <c r="D22" s="28" t="s">
        <v>198</v>
      </c>
      <c r="E22" s="29">
        <v>1748</v>
      </c>
      <c r="F22" s="30">
        <v>94.087847999999994</v>
      </c>
      <c r="G22" s="31">
        <v>2.857821E-2</v>
      </c>
      <c r="H22" s="24" t="str">
        <f>IFERROR(VLOOKUP(B22,#REF!,12,FALSE),"")</f>
        <v/>
      </c>
    </row>
    <row r="23" spans="1:8" x14ac:dyDescent="0.2">
      <c r="A23" s="27">
        <v>17</v>
      </c>
      <c r="B23" s="28" t="s">
        <v>395</v>
      </c>
      <c r="C23" s="28" t="s">
        <v>396</v>
      </c>
      <c r="D23" s="28" t="s">
        <v>233</v>
      </c>
      <c r="E23" s="29">
        <v>3672</v>
      </c>
      <c r="F23" s="30">
        <v>86.148792</v>
      </c>
      <c r="G23" s="31">
        <v>2.6166809999999999E-2</v>
      </c>
      <c r="H23" s="24" t="str">
        <f>IFERROR(VLOOKUP(B23,#REF!,12,FALSE),"")</f>
        <v/>
      </c>
    </row>
    <row r="24" spans="1:8" ht="25.5" x14ac:dyDescent="0.2">
      <c r="A24" s="27">
        <v>18</v>
      </c>
      <c r="B24" s="28" t="s">
        <v>50</v>
      </c>
      <c r="C24" s="28" t="s">
        <v>51</v>
      </c>
      <c r="D24" s="28" t="s">
        <v>25</v>
      </c>
      <c r="E24" s="29">
        <v>1736</v>
      </c>
      <c r="F24" s="30">
        <v>83.932996000000003</v>
      </c>
      <c r="G24" s="31">
        <v>2.5493780000000001E-2</v>
      </c>
      <c r="H24" s="24" t="str">
        <f>IFERROR(VLOOKUP(B24,#REF!,12,FALSE),"")</f>
        <v/>
      </c>
    </row>
    <row r="25" spans="1:8" x14ac:dyDescent="0.2">
      <c r="A25" s="27">
        <v>19</v>
      </c>
      <c r="B25" s="28" t="s">
        <v>397</v>
      </c>
      <c r="C25" s="28" t="s">
        <v>398</v>
      </c>
      <c r="D25" s="28" t="s">
        <v>42</v>
      </c>
      <c r="E25" s="29">
        <v>8019</v>
      </c>
      <c r="F25" s="30">
        <v>79.941411000000002</v>
      </c>
      <c r="G25" s="31">
        <v>2.4281380000000002E-2</v>
      </c>
      <c r="H25" s="24" t="str">
        <f>IFERROR(VLOOKUP(B25,#REF!,12,FALSE),"")</f>
        <v/>
      </c>
    </row>
    <row r="26" spans="1:8" x14ac:dyDescent="0.2">
      <c r="A26" s="27">
        <v>20</v>
      </c>
      <c r="B26" s="28" t="s">
        <v>399</v>
      </c>
      <c r="C26" s="28" t="s">
        <v>400</v>
      </c>
      <c r="D26" s="28" t="s">
        <v>401</v>
      </c>
      <c r="E26" s="29">
        <v>6861</v>
      </c>
      <c r="F26" s="30">
        <v>74.819204999999997</v>
      </c>
      <c r="G26" s="31">
        <v>2.2725559999999999E-2</v>
      </c>
      <c r="H26" s="24" t="str">
        <f>IFERROR(VLOOKUP(B26,#REF!,12,FALSE),"")</f>
        <v/>
      </c>
    </row>
    <row r="27" spans="1:8" ht="25.5" x14ac:dyDescent="0.2">
      <c r="A27" s="27">
        <v>21</v>
      </c>
      <c r="B27" s="28" t="s">
        <v>402</v>
      </c>
      <c r="C27" s="28" t="s">
        <v>403</v>
      </c>
      <c r="D27" s="28" t="s">
        <v>404</v>
      </c>
      <c r="E27" s="29">
        <v>22120</v>
      </c>
      <c r="F27" s="30">
        <v>74.135180000000005</v>
      </c>
      <c r="G27" s="31">
        <v>2.2517789999999999E-2</v>
      </c>
      <c r="H27" s="24" t="str">
        <f>IFERROR(VLOOKUP(B27,#REF!,12,FALSE),"")</f>
        <v/>
      </c>
    </row>
    <row r="28" spans="1:8" x14ac:dyDescent="0.2">
      <c r="A28" s="27">
        <v>22</v>
      </c>
      <c r="B28" s="28" t="s">
        <v>405</v>
      </c>
      <c r="C28" s="28" t="s">
        <v>406</v>
      </c>
      <c r="D28" s="28" t="s">
        <v>39</v>
      </c>
      <c r="E28" s="29">
        <v>8402</v>
      </c>
      <c r="F28" s="30">
        <v>67.606693000000007</v>
      </c>
      <c r="G28" s="31">
        <v>2.053483E-2</v>
      </c>
      <c r="H28" s="24" t="str">
        <f>IFERROR(VLOOKUP(B28,#REF!,12,FALSE),"")</f>
        <v/>
      </c>
    </row>
    <row r="29" spans="1:8" x14ac:dyDescent="0.2">
      <c r="A29" s="27">
        <v>23</v>
      </c>
      <c r="B29" s="28" t="s">
        <v>407</v>
      </c>
      <c r="C29" s="28" t="s">
        <v>408</v>
      </c>
      <c r="D29" s="28" t="s">
        <v>120</v>
      </c>
      <c r="E29" s="29">
        <v>9319</v>
      </c>
      <c r="F29" s="30">
        <v>62.222963</v>
      </c>
      <c r="G29" s="31">
        <v>1.8899579999999999E-2</v>
      </c>
      <c r="H29" s="24" t="str">
        <f>IFERROR(VLOOKUP(B29,#REF!,12,FALSE),"")</f>
        <v/>
      </c>
    </row>
    <row r="30" spans="1:8" x14ac:dyDescent="0.2">
      <c r="A30" s="27">
        <v>24</v>
      </c>
      <c r="B30" s="28" t="s">
        <v>409</v>
      </c>
      <c r="C30" s="28" t="s">
        <v>410</v>
      </c>
      <c r="D30" s="28" t="s">
        <v>195</v>
      </c>
      <c r="E30" s="29">
        <v>11397</v>
      </c>
      <c r="F30" s="30">
        <v>60.928362</v>
      </c>
      <c r="G30" s="31">
        <v>1.8506359999999999E-2</v>
      </c>
      <c r="H30" s="24" t="str">
        <f>IFERROR(VLOOKUP(B30,#REF!,12,FALSE),"")</f>
        <v/>
      </c>
    </row>
    <row r="31" spans="1:8" x14ac:dyDescent="0.2">
      <c r="A31" s="27">
        <v>25</v>
      </c>
      <c r="B31" s="28" t="s">
        <v>411</v>
      </c>
      <c r="C31" s="28" t="s">
        <v>412</v>
      </c>
      <c r="D31" s="28" t="s">
        <v>42</v>
      </c>
      <c r="E31" s="29">
        <v>12724</v>
      </c>
      <c r="F31" s="30">
        <v>60.120899999999999</v>
      </c>
      <c r="G31" s="31">
        <v>1.8261099999999999E-2</v>
      </c>
      <c r="H31" s="24" t="str">
        <f>IFERROR(VLOOKUP(B31,#REF!,12,FALSE),"")</f>
        <v/>
      </c>
    </row>
    <row r="32" spans="1:8" x14ac:dyDescent="0.2">
      <c r="A32" s="27">
        <v>26</v>
      </c>
      <c r="B32" s="28" t="s">
        <v>413</v>
      </c>
      <c r="C32" s="28" t="s">
        <v>414</v>
      </c>
      <c r="D32" s="28" t="s">
        <v>223</v>
      </c>
      <c r="E32" s="29">
        <v>8151</v>
      </c>
      <c r="F32" s="30">
        <v>59.164033500000002</v>
      </c>
      <c r="G32" s="31">
        <v>1.7970460000000001E-2</v>
      </c>
      <c r="H32" s="24" t="str">
        <f>IFERROR(VLOOKUP(B32,#REF!,12,FALSE),"")</f>
        <v/>
      </c>
    </row>
    <row r="33" spans="1:8" x14ac:dyDescent="0.2">
      <c r="A33" s="27">
        <v>27</v>
      </c>
      <c r="B33" s="28" t="s">
        <v>317</v>
      </c>
      <c r="C33" s="28" t="s">
        <v>318</v>
      </c>
      <c r="D33" s="28" t="s">
        <v>120</v>
      </c>
      <c r="E33" s="29">
        <v>3675</v>
      </c>
      <c r="F33" s="30">
        <v>55.815899999999999</v>
      </c>
      <c r="G33" s="31">
        <v>1.69535E-2</v>
      </c>
      <c r="H33" s="24" t="str">
        <f>IFERROR(VLOOKUP(B33,#REF!,12,FALSE),"")</f>
        <v/>
      </c>
    </row>
    <row r="34" spans="1:8" ht="25.5" x14ac:dyDescent="0.2">
      <c r="A34" s="27">
        <v>28</v>
      </c>
      <c r="B34" s="28" t="s">
        <v>415</v>
      </c>
      <c r="C34" s="28" t="s">
        <v>416</v>
      </c>
      <c r="D34" s="28" t="s">
        <v>198</v>
      </c>
      <c r="E34" s="29">
        <v>9463</v>
      </c>
      <c r="F34" s="30">
        <v>55.268651499999997</v>
      </c>
      <c r="G34" s="31">
        <v>1.6787280000000002E-2</v>
      </c>
      <c r="H34" s="24" t="str">
        <f>IFERROR(VLOOKUP(B34,#REF!,12,FALSE),"")</f>
        <v/>
      </c>
    </row>
    <row r="35" spans="1:8" x14ac:dyDescent="0.2">
      <c r="A35" s="27">
        <v>29</v>
      </c>
      <c r="B35" s="28" t="s">
        <v>45</v>
      </c>
      <c r="C35" s="28" t="s">
        <v>46</v>
      </c>
      <c r="D35" s="28" t="s">
        <v>47</v>
      </c>
      <c r="E35" s="29">
        <v>4383</v>
      </c>
      <c r="F35" s="30">
        <v>51.327121499999997</v>
      </c>
      <c r="G35" s="31">
        <v>1.5590079999999999E-2</v>
      </c>
      <c r="H35" s="24" t="str">
        <f>IFERROR(VLOOKUP(B35,#REF!,12,FALSE),"")</f>
        <v/>
      </c>
    </row>
    <row r="36" spans="1:8" x14ac:dyDescent="0.2">
      <c r="A36" s="27">
        <v>30</v>
      </c>
      <c r="B36" s="28" t="s">
        <v>417</v>
      </c>
      <c r="C36" s="28" t="s">
        <v>418</v>
      </c>
      <c r="D36" s="28" t="s">
        <v>354</v>
      </c>
      <c r="E36" s="29">
        <v>11897</v>
      </c>
      <c r="F36" s="30">
        <v>50.508713499999999</v>
      </c>
      <c r="G36" s="31">
        <v>1.5341499999999999E-2</v>
      </c>
      <c r="H36" s="24" t="str">
        <f>IFERROR(VLOOKUP(B36,#REF!,12,FALSE),"")</f>
        <v/>
      </c>
    </row>
    <row r="37" spans="1:8" x14ac:dyDescent="0.2">
      <c r="A37" s="27">
        <v>31</v>
      </c>
      <c r="B37" s="28" t="s">
        <v>419</v>
      </c>
      <c r="C37" s="28" t="s">
        <v>420</v>
      </c>
      <c r="D37" s="28" t="s">
        <v>120</v>
      </c>
      <c r="E37" s="29">
        <v>4638</v>
      </c>
      <c r="F37" s="30">
        <v>50.222583</v>
      </c>
      <c r="G37" s="31">
        <v>1.525459E-2</v>
      </c>
      <c r="H37" s="24" t="str">
        <f>IFERROR(VLOOKUP(B37,#REF!,12,FALSE),"")</f>
        <v/>
      </c>
    </row>
    <row r="38" spans="1:8" x14ac:dyDescent="0.2">
      <c r="A38" s="27">
        <v>32</v>
      </c>
      <c r="B38" s="28" t="s">
        <v>102</v>
      </c>
      <c r="C38" s="28" t="s">
        <v>103</v>
      </c>
      <c r="D38" s="28" t="s">
        <v>42</v>
      </c>
      <c r="E38" s="29">
        <v>2184</v>
      </c>
      <c r="F38" s="30">
        <v>42.095508000000002</v>
      </c>
      <c r="G38" s="31">
        <v>1.278608E-2</v>
      </c>
      <c r="H38" s="24" t="str">
        <f>IFERROR(VLOOKUP(B38,#REF!,12,FALSE),"")</f>
        <v/>
      </c>
    </row>
    <row r="39" spans="1:8" x14ac:dyDescent="0.2">
      <c r="A39" s="27">
        <v>33</v>
      </c>
      <c r="B39" s="28" t="s">
        <v>421</v>
      </c>
      <c r="C39" s="28" t="s">
        <v>422</v>
      </c>
      <c r="D39" s="28" t="s">
        <v>80</v>
      </c>
      <c r="E39" s="29">
        <v>3959</v>
      </c>
      <c r="F39" s="30">
        <v>42.060415999999996</v>
      </c>
      <c r="G39" s="31">
        <v>1.2775419999999999E-2</v>
      </c>
      <c r="H39" s="24" t="str">
        <f>IFERROR(VLOOKUP(B39,#REF!,12,FALSE),"")</f>
        <v/>
      </c>
    </row>
    <row r="40" spans="1:8" x14ac:dyDescent="0.2">
      <c r="A40" s="27">
        <v>34</v>
      </c>
      <c r="B40" s="28" t="s">
        <v>423</v>
      </c>
      <c r="C40" s="28" t="s">
        <v>424</v>
      </c>
      <c r="D40" s="28" t="s">
        <v>39</v>
      </c>
      <c r="E40" s="29">
        <v>6126</v>
      </c>
      <c r="F40" s="30">
        <v>37.993451999999998</v>
      </c>
      <c r="G40" s="31">
        <v>1.1540119999999999E-2</v>
      </c>
      <c r="H40" s="24" t="str">
        <f>IFERROR(VLOOKUP(B40,#REF!,12,FALSE),"")</f>
        <v/>
      </c>
    </row>
    <row r="41" spans="1:8" x14ac:dyDescent="0.2">
      <c r="A41" s="27">
        <v>35</v>
      </c>
      <c r="B41" s="28" t="s">
        <v>425</v>
      </c>
      <c r="C41" s="28" t="s">
        <v>426</v>
      </c>
      <c r="D41" s="28" t="s">
        <v>139</v>
      </c>
      <c r="E41" s="29">
        <v>27808</v>
      </c>
      <c r="F41" s="30">
        <v>37.435129600000003</v>
      </c>
      <c r="G41" s="31">
        <v>1.137053E-2</v>
      </c>
      <c r="H41" s="24" t="str">
        <f>IFERROR(VLOOKUP(B41,#REF!,12,FALSE),"")</f>
        <v/>
      </c>
    </row>
    <row r="42" spans="1:8" x14ac:dyDescent="0.2">
      <c r="A42" s="27">
        <v>36</v>
      </c>
      <c r="B42" s="28" t="s">
        <v>313</v>
      </c>
      <c r="C42" s="28" t="s">
        <v>314</v>
      </c>
      <c r="D42" s="28" t="s">
        <v>47</v>
      </c>
      <c r="E42" s="29">
        <v>2178</v>
      </c>
      <c r="F42" s="30">
        <v>35.758403999999999</v>
      </c>
      <c r="G42" s="31">
        <v>1.0861249999999999E-2</v>
      </c>
      <c r="H42" s="24" t="str">
        <f>IFERROR(VLOOKUP(B42,#REF!,12,FALSE),"")</f>
        <v/>
      </c>
    </row>
    <row r="43" spans="1:8" x14ac:dyDescent="0.2">
      <c r="A43" s="27">
        <v>37</v>
      </c>
      <c r="B43" s="28" t="s">
        <v>427</v>
      </c>
      <c r="C43" s="28" t="s">
        <v>428</v>
      </c>
      <c r="D43" s="28" t="s">
        <v>42</v>
      </c>
      <c r="E43" s="29">
        <v>2283</v>
      </c>
      <c r="F43" s="30">
        <v>27.092361</v>
      </c>
      <c r="G43" s="31">
        <v>8.22903E-3</v>
      </c>
      <c r="H43" s="24" t="str">
        <f>IFERROR(VLOOKUP(B43,#REF!,12,FALSE),"")</f>
        <v/>
      </c>
    </row>
    <row r="44" spans="1:8" x14ac:dyDescent="0.2">
      <c r="A44" s="27">
        <v>38</v>
      </c>
      <c r="B44" s="28" t="s">
        <v>429</v>
      </c>
      <c r="C44" s="28" t="s">
        <v>430</v>
      </c>
      <c r="D44" s="28" t="s">
        <v>83</v>
      </c>
      <c r="E44" s="29">
        <v>4214</v>
      </c>
      <c r="F44" s="30">
        <v>18.28876</v>
      </c>
      <c r="G44" s="31">
        <v>5.5550199999999999E-3</v>
      </c>
      <c r="H44" s="24" t="str">
        <f>IFERROR(VLOOKUP(B44,#REF!,12,FALSE),"")</f>
        <v/>
      </c>
    </row>
    <row r="45" spans="1:8" x14ac:dyDescent="0.2">
      <c r="A45" s="25"/>
      <c r="B45" s="25"/>
      <c r="C45" s="26" t="s">
        <v>145</v>
      </c>
      <c r="D45" s="25"/>
      <c r="E45" s="25" t="s">
        <v>146</v>
      </c>
      <c r="F45" s="32">
        <v>3219.1009829</v>
      </c>
      <c r="G45" s="33">
        <v>0.97776865000000002</v>
      </c>
      <c r="H45" s="24" t="str">
        <f>IFERROR(VLOOKUP(B45,#REF!,12,FALSE),"")</f>
        <v/>
      </c>
    </row>
    <row r="46" spans="1:8" x14ac:dyDescent="0.2">
      <c r="A46" s="25"/>
      <c r="B46" s="25"/>
      <c r="C46" s="34"/>
      <c r="D46" s="25"/>
      <c r="E46" s="25"/>
      <c r="F46" s="35"/>
      <c r="G46" s="35"/>
      <c r="H46" s="24" t="str">
        <f>IFERROR(VLOOKUP(B46,#REF!,12,FALSE),"")</f>
        <v/>
      </c>
    </row>
    <row r="47" spans="1:8" x14ac:dyDescent="0.2">
      <c r="A47" s="25"/>
      <c r="B47" s="25"/>
      <c r="C47" s="26" t="s">
        <v>147</v>
      </c>
      <c r="D47" s="25"/>
      <c r="E47" s="25"/>
      <c r="F47" s="25"/>
      <c r="G47" s="25"/>
      <c r="H47" s="24" t="str">
        <f>IFERROR(VLOOKUP(B47,#REF!,12,FALSE),"")</f>
        <v/>
      </c>
    </row>
    <row r="48" spans="1:8" x14ac:dyDescent="0.2">
      <c r="A48" s="25"/>
      <c r="B48" s="25"/>
      <c r="C48" s="26" t="s">
        <v>145</v>
      </c>
      <c r="D48" s="25"/>
      <c r="E48" s="25" t="s">
        <v>146</v>
      </c>
      <c r="F48" s="36" t="s">
        <v>148</v>
      </c>
      <c r="G48" s="33">
        <v>0</v>
      </c>
      <c r="H48" s="24" t="str">
        <f>IFERROR(VLOOKUP(B48,#REF!,12,FALSE),"")</f>
        <v/>
      </c>
    </row>
    <row r="49" spans="1:8" x14ac:dyDescent="0.2">
      <c r="A49" s="25"/>
      <c r="B49" s="25"/>
      <c r="C49" s="34"/>
      <c r="D49" s="25"/>
      <c r="E49" s="25"/>
      <c r="F49" s="35"/>
      <c r="G49" s="35"/>
      <c r="H49" s="24" t="str">
        <f>IFERROR(VLOOKUP(B49,#REF!,12,FALSE),"")</f>
        <v/>
      </c>
    </row>
    <row r="50" spans="1:8" x14ac:dyDescent="0.2">
      <c r="A50" s="25"/>
      <c r="B50" s="25"/>
      <c r="C50" s="26" t="s">
        <v>149</v>
      </c>
      <c r="D50" s="25"/>
      <c r="E50" s="25"/>
      <c r="F50" s="25"/>
      <c r="G50" s="25"/>
      <c r="H50" s="24" t="str">
        <f>IFERROR(VLOOKUP(B50,#REF!,12,FALSE),"")</f>
        <v/>
      </c>
    </row>
    <row r="51" spans="1:8" x14ac:dyDescent="0.2">
      <c r="A51" s="25"/>
      <c r="B51" s="25"/>
      <c r="C51" s="26" t="s">
        <v>145</v>
      </c>
      <c r="D51" s="25"/>
      <c r="E51" s="25" t="s">
        <v>146</v>
      </c>
      <c r="F51" s="36" t="s">
        <v>148</v>
      </c>
      <c r="G51" s="33">
        <v>0</v>
      </c>
      <c r="H51" s="24" t="str">
        <f>IFERROR(VLOOKUP(B51,#REF!,12,FALSE),"")</f>
        <v/>
      </c>
    </row>
    <row r="52" spans="1:8" x14ac:dyDescent="0.2">
      <c r="A52" s="25"/>
      <c r="B52" s="25"/>
      <c r="C52" s="34"/>
      <c r="D52" s="25"/>
      <c r="E52" s="25"/>
      <c r="F52" s="35"/>
      <c r="G52" s="35"/>
      <c r="H52" s="24" t="str">
        <f>IFERROR(VLOOKUP(B52,#REF!,12,FALSE),"")</f>
        <v/>
      </c>
    </row>
    <row r="53" spans="1:8" x14ac:dyDescent="0.2">
      <c r="A53" s="25"/>
      <c r="B53" s="25"/>
      <c r="C53" s="26" t="s">
        <v>150</v>
      </c>
      <c r="D53" s="25"/>
      <c r="E53" s="25"/>
      <c r="F53" s="25"/>
      <c r="G53" s="25"/>
      <c r="H53" s="24" t="str">
        <f>IFERROR(VLOOKUP(B53,#REF!,12,FALSE),"")</f>
        <v/>
      </c>
    </row>
    <row r="54" spans="1:8" x14ac:dyDescent="0.2">
      <c r="A54" s="25"/>
      <c r="B54" s="25"/>
      <c r="C54" s="26" t="s">
        <v>145</v>
      </c>
      <c r="D54" s="25"/>
      <c r="E54" s="25" t="s">
        <v>146</v>
      </c>
      <c r="F54" s="36" t="s">
        <v>148</v>
      </c>
      <c r="G54" s="33">
        <v>0</v>
      </c>
      <c r="H54" s="24" t="str">
        <f>IFERROR(VLOOKUP(B54,#REF!,12,FALSE),"")</f>
        <v/>
      </c>
    </row>
    <row r="55" spans="1:8" x14ac:dyDescent="0.2">
      <c r="A55" s="25"/>
      <c r="B55" s="25"/>
      <c r="C55" s="34"/>
      <c r="D55" s="25"/>
      <c r="E55" s="25"/>
      <c r="F55" s="35"/>
      <c r="G55" s="35"/>
      <c r="H55" s="24" t="str">
        <f>IFERROR(VLOOKUP(B55,#REF!,12,FALSE),"")</f>
        <v/>
      </c>
    </row>
    <row r="56" spans="1:8" x14ac:dyDescent="0.2">
      <c r="A56" s="25"/>
      <c r="B56" s="25"/>
      <c r="C56" s="26" t="s">
        <v>151</v>
      </c>
      <c r="D56" s="25"/>
      <c r="E56" s="25"/>
      <c r="F56" s="35"/>
      <c r="G56" s="35"/>
      <c r="H56" s="24" t="str">
        <f>IFERROR(VLOOKUP(B56,#REF!,12,FALSE),"")</f>
        <v/>
      </c>
    </row>
    <row r="57" spans="1:8" x14ac:dyDescent="0.2">
      <c r="A57" s="25"/>
      <c r="B57" s="25"/>
      <c r="C57" s="26" t="s">
        <v>145</v>
      </c>
      <c r="D57" s="25"/>
      <c r="E57" s="25" t="s">
        <v>146</v>
      </c>
      <c r="F57" s="36" t="s">
        <v>148</v>
      </c>
      <c r="G57" s="33">
        <v>0</v>
      </c>
      <c r="H57" s="24" t="str">
        <f>IFERROR(VLOOKUP(B57,#REF!,12,FALSE),"")</f>
        <v/>
      </c>
    </row>
    <row r="58" spans="1:8" x14ac:dyDescent="0.2">
      <c r="A58" s="25"/>
      <c r="B58" s="25"/>
      <c r="C58" s="34"/>
      <c r="D58" s="25"/>
      <c r="E58" s="25"/>
      <c r="F58" s="35"/>
      <c r="G58" s="35"/>
      <c r="H58" s="24" t="str">
        <f>IFERROR(VLOOKUP(B58,#REF!,12,FALSE),"")</f>
        <v/>
      </c>
    </row>
    <row r="59" spans="1:8" x14ac:dyDescent="0.2">
      <c r="A59" s="25"/>
      <c r="B59" s="25"/>
      <c r="C59" s="26" t="s">
        <v>152</v>
      </c>
      <c r="D59" s="25"/>
      <c r="E59" s="25"/>
      <c r="F59" s="35"/>
      <c r="G59" s="35"/>
      <c r="H59" s="24" t="str">
        <f>IFERROR(VLOOKUP(B59,#REF!,12,FALSE),"")</f>
        <v/>
      </c>
    </row>
    <row r="60" spans="1:8" x14ac:dyDescent="0.2">
      <c r="A60" s="25"/>
      <c r="B60" s="25"/>
      <c r="C60" s="26" t="s">
        <v>145</v>
      </c>
      <c r="D60" s="25"/>
      <c r="E60" s="25" t="s">
        <v>146</v>
      </c>
      <c r="F60" s="36" t="s">
        <v>148</v>
      </c>
      <c r="G60" s="33">
        <v>0</v>
      </c>
      <c r="H60" s="24" t="str">
        <f>IFERROR(VLOOKUP(B60,#REF!,12,FALSE),"")</f>
        <v/>
      </c>
    </row>
    <row r="61" spans="1:8" x14ac:dyDescent="0.2">
      <c r="A61" s="25"/>
      <c r="B61" s="25"/>
      <c r="C61" s="34"/>
      <c r="D61" s="25"/>
      <c r="E61" s="25"/>
      <c r="F61" s="35"/>
      <c r="G61" s="35"/>
      <c r="H61" s="24" t="str">
        <f>IFERROR(VLOOKUP(B61,#REF!,12,FALSE),"")</f>
        <v/>
      </c>
    </row>
    <row r="62" spans="1:8" x14ac:dyDescent="0.2">
      <c r="A62" s="25"/>
      <c r="B62" s="25"/>
      <c r="C62" s="26" t="s">
        <v>153</v>
      </c>
      <c r="D62" s="25"/>
      <c r="E62" s="25"/>
      <c r="F62" s="32">
        <v>3219.1009829</v>
      </c>
      <c r="G62" s="33">
        <v>0.97776865000000002</v>
      </c>
      <c r="H62" s="24" t="str">
        <f>IFERROR(VLOOKUP(B62,#REF!,12,FALSE),"")</f>
        <v/>
      </c>
    </row>
    <row r="63" spans="1:8" x14ac:dyDescent="0.2">
      <c r="A63" s="25"/>
      <c r="B63" s="25"/>
      <c r="C63" s="34"/>
      <c r="D63" s="25"/>
      <c r="E63" s="25"/>
      <c r="F63" s="35"/>
      <c r="G63" s="35"/>
      <c r="H63" s="24" t="str">
        <f>IFERROR(VLOOKUP(B63,#REF!,12,FALSE),"")</f>
        <v/>
      </c>
    </row>
    <row r="64" spans="1:8" x14ac:dyDescent="0.2">
      <c r="A64" s="25"/>
      <c r="B64" s="25"/>
      <c r="C64" s="26" t="s">
        <v>154</v>
      </c>
      <c r="D64" s="25"/>
      <c r="E64" s="25"/>
      <c r="F64" s="35"/>
      <c r="G64" s="35"/>
      <c r="H64" s="24" t="str">
        <f>IFERROR(VLOOKUP(B64,#REF!,12,FALSE),"")</f>
        <v/>
      </c>
    </row>
    <row r="65" spans="1:8" x14ac:dyDescent="0.2">
      <c r="A65" s="25"/>
      <c r="B65" s="25"/>
      <c r="C65" s="26" t="s">
        <v>10</v>
      </c>
      <c r="D65" s="25"/>
      <c r="E65" s="25"/>
      <c r="F65" s="35"/>
      <c r="G65" s="35"/>
      <c r="H65" s="24" t="str">
        <f>IFERROR(VLOOKUP(B65,#REF!,12,FALSE),"")</f>
        <v/>
      </c>
    </row>
    <row r="66" spans="1:8" x14ac:dyDescent="0.2">
      <c r="A66" s="25"/>
      <c r="B66" s="25"/>
      <c r="C66" s="26" t="s">
        <v>145</v>
      </c>
      <c r="D66" s="25"/>
      <c r="E66" s="25" t="s">
        <v>146</v>
      </c>
      <c r="F66" s="36" t="s">
        <v>148</v>
      </c>
      <c r="G66" s="33">
        <v>0</v>
      </c>
      <c r="H66" s="24" t="str">
        <f>IFERROR(VLOOKUP(B66,#REF!,12,FALSE),"")</f>
        <v/>
      </c>
    </row>
    <row r="67" spans="1:8" x14ac:dyDescent="0.2">
      <c r="A67" s="25"/>
      <c r="B67" s="25"/>
      <c r="C67" s="34"/>
      <c r="D67" s="25"/>
      <c r="E67" s="25"/>
      <c r="F67" s="35"/>
      <c r="G67" s="35"/>
      <c r="H67" s="24" t="str">
        <f>IFERROR(VLOOKUP(B67,#REF!,12,FALSE),"")</f>
        <v/>
      </c>
    </row>
    <row r="68" spans="1:8" x14ac:dyDescent="0.2">
      <c r="A68" s="25"/>
      <c r="B68" s="25"/>
      <c r="C68" s="26" t="s">
        <v>155</v>
      </c>
      <c r="D68" s="25"/>
      <c r="E68" s="25"/>
      <c r="F68" s="25"/>
      <c r="G68" s="25"/>
      <c r="H68" s="24" t="str">
        <f>IFERROR(VLOOKUP(B68,#REF!,12,FALSE),"")</f>
        <v/>
      </c>
    </row>
    <row r="69" spans="1:8" x14ac:dyDescent="0.2">
      <c r="A69" s="25"/>
      <c r="B69" s="25"/>
      <c r="C69" s="26" t="s">
        <v>145</v>
      </c>
      <c r="D69" s="25"/>
      <c r="E69" s="25" t="s">
        <v>146</v>
      </c>
      <c r="F69" s="36" t="s">
        <v>148</v>
      </c>
      <c r="G69" s="33">
        <v>0</v>
      </c>
      <c r="H69" s="24" t="str">
        <f>IFERROR(VLOOKUP(B69,#REF!,12,FALSE),"")</f>
        <v/>
      </c>
    </row>
    <row r="70" spans="1:8" x14ac:dyDescent="0.2">
      <c r="A70" s="25"/>
      <c r="B70" s="25"/>
      <c r="C70" s="34"/>
      <c r="D70" s="25"/>
      <c r="E70" s="25"/>
      <c r="F70" s="35"/>
      <c r="G70" s="35"/>
      <c r="H70" s="24" t="str">
        <f>IFERROR(VLOOKUP(B70,#REF!,12,FALSE),"")</f>
        <v/>
      </c>
    </row>
    <row r="71" spans="1:8" x14ac:dyDescent="0.2">
      <c r="A71" s="25"/>
      <c r="B71" s="25"/>
      <c r="C71" s="26" t="s">
        <v>156</v>
      </c>
      <c r="D71" s="25"/>
      <c r="E71" s="25"/>
      <c r="F71" s="25"/>
      <c r="G71" s="25"/>
      <c r="H71" s="24" t="str">
        <f>IFERROR(VLOOKUP(B71,#REF!,12,FALSE),"")</f>
        <v/>
      </c>
    </row>
    <row r="72" spans="1:8" x14ac:dyDescent="0.2">
      <c r="A72" s="25"/>
      <c r="B72" s="25"/>
      <c r="C72" s="26" t="s">
        <v>145</v>
      </c>
      <c r="D72" s="25"/>
      <c r="E72" s="25" t="s">
        <v>146</v>
      </c>
      <c r="F72" s="36" t="s">
        <v>148</v>
      </c>
      <c r="G72" s="33">
        <v>0</v>
      </c>
      <c r="H72" s="24" t="str">
        <f>IFERROR(VLOOKUP(B72,#REF!,12,FALSE),"")</f>
        <v/>
      </c>
    </row>
    <row r="73" spans="1:8" x14ac:dyDescent="0.2">
      <c r="A73" s="25"/>
      <c r="B73" s="25"/>
      <c r="C73" s="34"/>
      <c r="D73" s="25"/>
      <c r="E73" s="25"/>
      <c r="F73" s="35"/>
      <c r="G73" s="35"/>
      <c r="H73" s="24" t="str">
        <f>IFERROR(VLOOKUP(B73,#REF!,12,FALSE),"")</f>
        <v/>
      </c>
    </row>
    <row r="74" spans="1:8" x14ac:dyDescent="0.2">
      <c r="A74" s="25"/>
      <c r="B74" s="25"/>
      <c r="C74" s="26" t="s">
        <v>157</v>
      </c>
      <c r="D74" s="25"/>
      <c r="E74" s="25"/>
      <c r="F74" s="35"/>
      <c r="G74" s="35"/>
      <c r="H74" s="24" t="str">
        <f>IFERROR(VLOOKUP(B74,#REF!,12,FALSE),"")</f>
        <v/>
      </c>
    </row>
    <row r="75" spans="1:8" x14ac:dyDescent="0.2">
      <c r="A75" s="25"/>
      <c r="B75" s="25"/>
      <c r="C75" s="26" t="s">
        <v>145</v>
      </c>
      <c r="D75" s="25"/>
      <c r="E75" s="25" t="s">
        <v>146</v>
      </c>
      <c r="F75" s="36" t="s">
        <v>148</v>
      </c>
      <c r="G75" s="33">
        <v>0</v>
      </c>
      <c r="H75" s="24" t="str">
        <f>IFERROR(VLOOKUP(B75,#REF!,12,FALSE),"")</f>
        <v/>
      </c>
    </row>
    <row r="76" spans="1:8" x14ac:dyDescent="0.2">
      <c r="A76" s="25"/>
      <c r="B76" s="25"/>
      <c r="C76" s="34"/>
      <c r="D76" s="25"/>
      <c r="E76" s="25"/>
      <c r="F76" s="35"/>
      <c r="G76" s="35"/>
      <c r="H76" s="24" t="str">
        <f>IFERROR(VLOOKUP(B76,#REF!,12,FALSE),"")</f>
        <v/>
      </c>
    </row>
    <row r="77" spans="1:8" x14ac:dyDescent="0.2">
      <c r="A77" s="25"/>
      <c r="B77" s="25"/>
      <c r="C77" s="26" t="s">
        <v>158</v>
      </c>
      <c r="D77" s="25"/>
      <c r="E77" s="25"/>
      <c r="F77" s="32">
        <v>0</v>
      </c>
      <c r="G77" s="33">
        <v>0</v>
      </c>
      <c r="H77" s="24" t="str">
        <f>IFERROR(VLOOKUP(B77,#REF!,12,FALSE),"")</f>
        <v/>
      </c>
    </row>
    <row r="78" spans="1:8" x14ac:dyDescent="0.2">
      <c r="A78" s="25"/>
      <c r="B78" s="25"/>
      <c r="C78" s="34"/>
      <c r="D78" s="25"/>
      <c r="E78" s="25"/>
      <c r="F78" s="35"/>
      <c r="G78" s="35"/>
      <c r="H78" s="24" t="str">
        <f>IFERROR(VLOOKUP(B78,#REF!,12,FALSE),"")</f>
        <v/>
      </c>
    </row>
    <row r="79" spans="1:8" x14ac:dyDescent="0.2">
      <c r="A79" s="25"/>
      <c r="B79" s="25"/>
      <c r="C79" s="26" t="s">
        <v>159</v>
      </c>
      <c r="D79" s="25"/>
      <c r="E79" s="25"/>
      <c r="F79" s="35"/>
      <c r="G79" s="35"/>
      <c r="H79" s="24" t="str">
        <f>IFERROR(VLOOKUP(B79,#REF!,12,FALSE),"")</f>
        <v/>
      </c>
    </row>
    <row r="80" spans="1:8" x14ac:dyDescent="0.2">
      <c r="A80" s="25"/>
      <c r="B80" s="25"/>
      <c r="C80" s="26" t="s">
        <v>160</v>
      </c>
      <c r="D80" s="25"/>
      <c r="E80" s="25"/>
      <c r="F80" s="35"/>
      <c r="G80" s="35"/>
      <c r="H80" s="24" t="str">
        <f>IFERROR(VLOOKUP(B80,#REF!,12,FALSE),"")</f>
        <v/>
      </c>
    </row>
    <row r="81" spans="1:8" x14ac:dyDescent="0.2">
      <c r="A81" s="25"/>
      <c r="B81" s="25"/>
      <c r="C81" s="26" t="s">
        <v>145</v>
      </c>
      <c r="D81" s="25"/>
      <c r="E81" s="25" t="s">
        <v>146</v>
      </c>
      <c r="F81" s="36" t="s">
        <v>148</v>
      </c>
      <c r="G81" s="33">
        <v>0</v>
      </c>
      <c r="H81" s="24" t="str">
        <f>IFERROR(VLOOKUP(B81,#REF!,12,FALSE),"")</f>
        <v/>
      </c>
    </row>
    <row r="82" spans="1:8" x14ac:dyDescent="0.2">
      <c r="A82" s="25"/>
      <c r="B82" s="25"/>
      <c r="C82" s="34"/>
      <c r="D82" s="25"/>
      <c r="E82" s="25"/>
      <c r="F82" s="35"/>
      <c r="G82" s="35"/>
      <c r="H82" s="24" t="str">
        <f>IFERROR(VLOOKUP(B82,#REF!,12,FALSE),"")</f>
        <v/>
      </c>
    </row>
    <row r="83" spans="1:8" x14ac:dyDescent="0.2">
      <c r="A83" s="25"/>
      <c r="B83" s="25"/>
      <c r="C83" s="26" t="s">
        <v>161</v>
      </c>
      <c r="D83" s="25"/>
      <c r="E83" s="25"/>
      <c r="F83" s="35"/>
      <c r="G83" s="35"/>
      <c r="H83" s="24" t="str">
        <f>IFERROR(VLOOKUP(B83,#REF!,12,FALSE),"")</f>
        <v/>
      </c>
    </row>
    <row r="84" spans="1:8" x14ac:dyDescent="0.2">
      <c r="A84" s="25"/>
      <c r="B84" s="25"/>
      <c r="C84" s="26" t="s">
        <v>145</v>
      </c>
      <c r="D84" s="25"/>
      <c r="E84" s="25" t="s">
        <v>146</v>
      </c>
      <c r="F84" s="36" t="s">
        <v>148</v>
      </c>
      <c r="G84" s="33">
        <v>0</v>
      </c>
      <c r="H84" s="24" t="str">
        <f>IFERROR(VLOOKUP(B84,#REF!,12,FALSE),"")</f>
        <v/>
      </c>
    </row>
    <row r="85" spans="1:8" x14ac:dyDescent="0.2">
      <c r="A85" s="25"/>
      <c r="B85" s="25"/>
      <c r="C85" s="34"/>
      <c r="D85" s="25"/>
      <c r="E85" s="25"/>
      <c r="F85" s="35"/>
      <c r="G85" s="35"/>
      <c r="H85" s="24" t="str">
        <f>IFERROR(VLOOKUP(B85,#REF!,12,FALSE),"")</f>
        <v/>
      </c>
    </row>
    <row r="86" spans="1:8" x14ac:dyDescent="0.2">
      <c r="A86" s="25"/>
      <c r="B86" s="25"/>
      <c r="C86" s="26" t="s">
        <v>162</v>
      </c>
      <c r="D86" s="25"/>
      <c r="E86" s="25"/>
      <c r="F86" s="35"/>
      <c r="G86" s="35"/>
      <c r="H86" s="24" t="str">
        <f>IFERROR(VLOOKUP(B86,#REF!,12,FALSE),"")</f>
        <v/>
      </c>
    </row>
    <row r="87" spans="1:8" x14ac:dyDescent="0.2">
      <c r="A87" s="25"/>
      <c r="B87" s="25"/>
      <c r="C87" s="26" t="s">
        <v>145</v>
      </c>
      <c r="D87" s="25"/>
      <c r="E87" s="25" t="s">
        <v>146</v>
      </c>
      <c r="F87" s="36" t="s">
        <v>148</v>
      </c>
      <c r="G87" s="33">
        <v>0</v>
      </c>
      <c r="H87" s="24" t="str">
        <f>IFERROR(VLOOKUP(B87,#REF!,12,FALSE),"")</f>
        <v/>
      </c>
    </row>
    <row r="88" spans="1:8" x14ac:dyDescent="0.2">
      <c r="A88" s="25"/>
      <c r="B88" s="25"/>
      <c r="C88" s="34"/>
      <c r="D88" s="25"/>
      <c r="E88" s="25"/>
      <c r="F88" s="35"/>
      <c r="G88" s="35"/>
      <c r="H88" s="24" t="str">
        <f>IFERROR(VLOOKUP(B88,#REF!,12,FALSE),"")</f>
        <v/>
      </c>
    </row>
    <row r="89" spans="1:8" x14ac:dyDescent="0.2">
      <c r="A89" s="25"/>
      <c r="B89" s="25"/>
      <c r="C89" s="26" t="s">
        <v>163</v>
      </c>
      <c r="D89" s="25"/>
      <c r="E89" s="25"/>
      <c r="F89" s="35"/>
      <c r="G89" s="35"/>
      <c r="H89" s="24" t="str">
        <f>IFERROR(VLOOKUP(B89,#REF!,12,FALSE),"")</f>
        <v/>
      </c>
    </row>
    <row r="90" spans="1:8" x14ac:dyDescent="0.2">
      <c r="A90" s="27">
        <v>1</v>
      </c>
      <c r="B90" s="28"/>
      <c r="C90" s="28" t="s">
        <v>164</v>
      </c>
      <c r="D90" s="28"/>
      <c r="E90" s="38"/>
      <c r="F90" s="30">
        <v>77.163023199999998</v>
      </c>
      <c r="G90" s="31">
        <v>2.3437469999999998E-2</v>
      </c>
      <c r="H90" s="24">
        <v>6.57</v>
      </c>
    </row>
    <row r="91" spans="1:8" x14ac:dyDescent="0.2">
      <c r="A91" s="25"/>
      <c r="B91" s="25"/>
      <c r="C91" s="26" t="s">
        <v>145</v>
      </c>
      <c r="D91" s="25"/>
      <c r="E91" s="25" t="s">
        <v>146</v>
      </c>
      <c r="F91" s="32">
        <v>77.163023199999998</v>
      </c>
      <c r="G91" s="33">
        <v>2.3437469999999998E-2</v>
      </c>
      <c r="H91" s="24" t="str">
        <f>IFERROR(VLOOKUP(B91,#REF!,12,FALSE),"")</f>
        <v/>
      </c>
    </row>
    <row r="92" spans="1:8" x14ac:dyDescent="0.2">
      <c r="A92" s="25"/>
      <c r="B92" s="25"/>
      <c r="C92" s="34"/>
      <c r="D92" s="25"/>
      <c r="E92" s="25"/>
      <c r="F92" s="35"/>
      <c r="G92" s="35"/>
      <c r="H92" s="24" t="str">
        <f>IFERROR(VLOOKUP(B92,#REF!,12,FALSE),"")</f>
        <v/>
      </c>
    </row>
    <row r="93" spans="1:8" x14ac:dyDescent="0.2">
      <c r="A93" s="25"/>
      <c r="B93" s="25"/>
      <c r="C93" s="26" t="s">
        <v>165</v>
      </c>
      <c r="D93" s="25"/>
      <c r="E93" s="25"/>
      <c r="F93" s="32">
        <v>77.163023199999998</v>
      </c>
      <c r="G93" s="33">
        <v>2.3437469999999998E-2</v>
      </c>
      <c r="H93" s="24" t="str">
        <f>IFERROR(VLOOKUP(B93,#REF!,12,FALSE),"")</f>
        <v/>
      </c>
    </row>
    <row r="94" spans="1:8" x14ac:dyDescent="0.2">
      <c r="A94" s="25"/>
      <c r="B94" s="25"/>
      <c r="C94" s="35"/>
      <c r="D94" s="25"/>
      <c r="E94" s="25"/>
      <c r="F94" s="25"/>
      <c r="G94" s="25"/>
      <c r="H94" s="24" t="str">
        <f>IFERROR(VLOOKUP(B94,#REF!,12,FALSE),"")</f>
        <v/>
      </c>
    </row>
    <row r="95" spans="1:8" x14ac:dyDescent="0.2">
      <c r="A95" s="25"/>
      <c r="B95" s="25"/>
      <c r="C95" s="26" t="s">
        <v>166</v>
      </c>
      <c r="D95" s="25"/>
      <c r="E95" s="25"/>
      <c r="F95" s="25"/>
      <c r="G95" s="25"/>
      <c r="H95" s="24" t="str">
        <f>IFERROR(VLOOKUP(B95,#REF!,12,FALSE),"")</f>
        <v/>
      </c>
    </row>
    <row r="96" spans="1:8" x14ac:dyDescent="0.2">
      <c r="A96" s="25"/>
      <c r="B96" s="25"/>
      <c r="C96" s="26" t="s">
        <v>167</v>
      </c>
      <c r="D96" s="25"/>
      <c r="E96" s="25"/>
      <c r="F96" s="25"/>
      <c r="G96" s="25"/>
      <c r="H96" s="24" t="str">
        <f>IFERROR(VLOOKUP(B96,#REF!,12,FALSE),"")</f>
        <v/>
      </c>
    </row>
    <row r="97" spans="1:17" x14ac:dyDescent="0.2">
      <c r="A97" s="25"/>
      <c r="B97" s="25"/>
      <c r="C97" s="26" t="s">
        <v>145</v>
      </c>
      <c r="D97" s="25"/>
      <c r="E97" s="25" t="s">
        <v>146</v>
      </c>
      <c r="F97" s="36" t="s">
        <v>148</v>
      </c>
      <c r="G97" s="33">
        <v>0</v>
      </c>
      <c r="H97" s="24" t="str">
        <f>IFERROR(VLOOKUP(B97,#REF!,12,FALSE),"")</f>
        <v/>
      </c>
    </row>
    <row r="98" spans="1:17" x14ac:dyDescent="0.2">
      <c r="A98" s="25"/>
      <c r="B98" s="25"/>
      <c r="C98" s="34"/>
      <c r="D98" s="25"/>
      <c r="E98" s="25"/>
      <c r="F98" s="35"/>
      <c r="G98" s="35"/>
      <c r="H98" s="24" t="str">
        <f>IFERROR(VLOOKUP(B98,#REF!,12,FALSE),"")</f>
        <v/>
      </c>
    </row>
    <row r="99" spans="1:17" x14ac:dyDescent="0.2">
      <c r="A99" s="25"/>
      <c r="B99" s="25"/>
      <c r="C99" s="26" t="s">
        <v>168</v>
      </c>
      <c r="D99" s="25"/>
      <c r="E99" s="25"/>
      <c r="F99" s="25"/>
      <c r="G99" s="25"/>
      <c r="H99" s="24" t="str">
        <f>IFERROR(VLOOKUP(B99,#REF!,12,FALSE),"")</f>
        <v/>
      </c>
    </row>
    <row r="100" spans="1:17" x14ac:dyDescent="0.2">
      <c r="A100" s="25"/>
      <c r="B100" s="25"/>
      <c r="C100" s="26" t="s">
        <v>169</v>
      </c>
      <c r="D100" s="25"/>
      <c r="E100" s="25"/>
      <c r="F100" s="25"/>
      <c r="G100" s="25"/>
      <c r="H100" s="24" t="str">
        <f>IFERROR(VLOOKUP(B100,#REF!,12,FALSE),"")</f>
        <v/>
      </c>
    </row>
    <row r="101" spans="1:17" x14ac:dyDescent="0.2">
      <c r="A101" s="25"/>
      <c r="B101" s="25"/>
      <c r="C101" s="26" t="s">
        <v>145</v>
      </c>
      <c r="D101" s="25"/>
      <c r="E101" s="25" t="s">
        <v>146</v>
      </c>
      <c r="F101" s="36" t="s">
        <v>148</v>
      </c>
      <c r="G101" s="33">
        <v>0</v>
      </c>
      <c r="H101" s="24" t="str">
        <f>IFERROR(VLOOKUP(B101,#REF!,12,FALSE),"")</f>
        <v/>
      </c>
    </row>
    <row r="102" spans="1:17" x14ac:dyDescent="0.2">
      <c r="A102" s="25"/>
      <c r="B102" s="25"/>
      <c r="C102" s="34"/>
      <c r="D102" s="25"/>
      <c r="E102" s="25"/>
      <c r="F102" s="35"/>
      <c r="G102" s="35"/>
      <c r="H102" s="24" t="str">
        <f>IFERROR(VLOOKUP(B102,#REF!,12,FALSE),"")</f>
        <v/>
      </c>
    </row>
    <row r="103" spans="1:17" x14ac:dyDescent="0.2">
      <c r="A103" s="25"/>
      <c r="B103" s="25"/>
      <c r="C103" s="26" t="s">
        <v>170</v>
      </c>
      <c r="D103" s="25"/>
      <c r="E103" s="25"/>
      <c r="F103" s="35"/>
      <c r="G103" s="35"/>
      <c r="H103" s="24" t="str">
        <f>IFERROR(VLOOKUP(B103,#REF!,12,FALSE),"")</f>
        <v/>
      </c>
    </row>
    <row r="104" spans="1:17" x14ac:dyDescent="0.2">
      <c r="A104" s="25"/>
      <c r="B104" s="25"/>
      <c r="C104" s="26" t="s">
        <v>145</v>
      </c>
      <c r="D104" s="25"/>
      <c r="E104" s="25" t="s">
        <v>146</v>
      </c>
      <c r="F104" s="36" t="s">
        <v>148</v>
      </c>
      <c r="G104" s="33">
        <v>0</v>
      </c>
      <c r="H104" s="24" t="str">
        <f>IFERROR(VLOOKUP(B104,#REF!,12,FALSE),"")</f>
        <v/>
      </c>
    </row>
    <row r="105" spans="1:17" x14ac:dyDescent="0.2">
      <c r="A105" s="25"/>
      <c r="B105" s="25"/>
      <c r="C105" s="34"/>
      <c r="D105" s="25"/>
      <c r="E105" s="25"/>
      <c r="F105" s="35"/>
      <c r="G105" s="35"/>
      <c r="H105" s="24" t="str">
        <f>IFERROR(VLOOKUP(B105,#REF!,12,FALSE),"")</f>
        <v/>
      </c>
    </row>
    <row r="106" spans="1:17" x14ac:dyDescent="0.2">
      <c r="A106" s="38"/>
      <c r="B106" s="28"/>
      <c r="C106" s="28" t="s">
        <v>171</v>
      </c>
      <c r="D106" s="28"/>
      <c r="E106" s="38"/>
      <c r="F106" s="30">
        <v>-3.9708776800000001</v>
      </c>
      <c r="G106" s="31">
        <v>-1.20611E-3</v>
      </c>
      <c r="H106" s="24" t="str">
        <f>IFERROR(VLOOKUP(B106,#REF!,12,FALSE),"")</f>
        <v/>
      </c>
    </row>
    <row r="107" spans="1:17" x14ac:dyDescent="0.2">
      <c r="A107" s="34"/>
      <c r="B107" s="34"/>
      <c r="C107" s="26" t="s">
        <v>172</v>
      </c>
      <c r="D107" s="35"/>
      <c r="E107" s="35"/>
      <c r="F107" s="32">
        <v>3292.2931284199999</v>
      </c>
      <c r="G107" s="39">
        <v>1.0000000099999999</v>
      </c>
      <c r="H107" s="24" t="str">
        <f>IFERROR(VLOOKUP(B107,#REF!,12,FALSE),"")</f>
        <v/>
      </c>
    </row>
    <row r="108" spans="1:17" x14ac:dyDescent="0.2">
      <c r="A108" s="40"/>
      <c r="B108" s="40"/>
      <c r="C108" s="40"/>
      <c r="D108" s="41"/>
      <c r="E108" s="41"/>
      <c r="F108" s="41"/>
      <c r="G108" s="41"/>
    </row>
    <row r="109" spans="1:17" x14ac:dyDescent="0.2">
      <c r="A109" s="42"/>
      <c r="B109" s="236" t="s">
        <v>858</v>
      </c>
      <c r="C109" s="236"/>
      <c r="D109" s="236"/>
      <c r="E109" s="236"/>
      <c r="F109" s="236"/>
      <c r="G109" s="236"/>
      <c r="H109" s="236"/>
      <c r="J109" s="44"/>
    </row>
    <row r="110" spans="1:17" x14ac:dyDescent="0.2">
      <c r="A110" s="42"/>
      <c r="B110" s="236" t="s">
        <v>859</v>
      </c>
      <c r="C110" s="236"/>
      <c r="D110" s="236"/>
      <c r="E110" s="236"/>
      <c r="F110" s="236"/>
      <c r="G110" s="236"/>
      <c r="H110" s="236"/>
      <c r="J110" s="44"/>
    </row>
    <row r="111" spans="1:17" x14ac:dyDescent="0.2">
      <c r="A111" s="42"/>
      <c r="B111" s="236" t="s">
        <v>860</v>
      </c>
      <c r="C111" s="236"/>
      <c r="D111" s="236"/>
      <c r="E111" s="236"/>
      <c r="F111" s="236"/>
      <c r="G111" s="236"/>
      <c r="H111" s="236"/>
      <c r="J111" s="44"/>
    </row>
    <row r="112" spans="1:17" s="46" customFormat="1" ht="66.75" customHeight="1" x14ac:dyDescent="0.25">
      <c r="A112" s="45"/>
      <c r="B112" s="237" t="s">
        <v>861</v>
      </c>
      <c r="C112" s="237"/>
      <c r="D112" s="237"/>
      <c r="E112" s="237"/>
      <c r="F112" s="237"/>
      <c r="G112" s="237"/>
      <c r="H112" s="237"/>
      <c r="I112"/>
      <c r="J112" s="44"/>
      <c r="K112"/>
      <c r="L112"/>
      <c r="M112"/>
      <c r="N112"/>
      <c r="O112"/>
      <c r="P112"/>
      <c r="Q112"/>
    </row>
    <row r="113" spans="1:10" x14ac:dyDescent="0.2">
      <c r="A113" s="42"/>
      <c r="B113" s="236" t="s">
        <v>862</v>
      </c>
      <c r="C113" s="236"/>
      <c r="D113" s="236"/>
      <c r="E113" s="236"/>
      <c r="F113" s="236"/>
      <c r="G113" s="236"/>
      <c r="H113" s="236"/>
      <c r="J113" s="44"/>
    </row>
    <row r="114" spans="1:10" x14ac:dyDescent="0.2">
      <c r="A114" s="47"/>
      <c r="B114" s="47"/>
      <c r="C114" s="47"/>
      <c r="D114" s="48"/>
      <c r="E114" s="48"/>
      <c r="F114" s="48"/>
      <c r="G114" s="48"/>
    </row>
    <row r="115" spans="1:10" x14ac:dyDescent="0.2">
      <c r="A115" s="47"/>
      <c r="B115" s="233" t="s">
        <v>173</v>
      </c>
      <c r="C115" s="234"/>
      <c r="D115" s="235"/>
      <c r="E115" s="49"/>
      <c r="F115" s="48"/>
      <c r="G115" s="48"/>
    </row>
    <row r="116" spans="1:10" ht="26.25" customHeight="1" x14ac:dyDescent="0.2">
      <c r="A116" s="47"/>
      <c r="B116" s="231" t="s">
        <v>174</v>
      </c>
      <c r="C116" s="232"/>
      <c r="D116" s="26" t="s">
        <v>175</v>
      </c>
      <c r="E116" s="49"/>
      <c r="F116" s="48"/>
      <c r="G116" s="48"/>
    </row>
    <row r="117" spans="1:10" ht="12.75" customHeight="1" x14ac:dyDescent="0.2">
      <c r="A117" s="42"/>
      <c r="B117" s="227" t="s">
        <v>863</v>
      </c>
      <c r="C117" s="228"/>
      <c r="D117" s="50" t="s">
        <v>175</v>
      </c>
      <c r="E117" s="51"/>
      <c r="F117" s="52"/>
      <c r="G117" s="52"/>
    </row>
    <row r="118" spans="1:10" x14ac:dyDescent="0.2">
      <c r="A118" s="47"/>
      <c r="B118" s="231" t="s">
        <v>176</v>
      </c>
      <c r="C118" s="232"/>
      <c r="D118" s="35" t="s">
        <v>146</v>
      </c>
      <c r="E118" s="49"/>
      <c r="F118" s="48"/>
      <c r="G118" s="48"/>
    </row>
    <row r="119" spans="1:10" x14ac:dyDescent="0.2">
      <c r="A119" s="53"/>
      <c r="B119" s="54" t="s">
        <v>146</v>
      </c>
      <c r="C119" s="54" t="s">
        <v>864</v>
      </c>
      <c r="D119" s="54" t="s">
        <v>177</v>
      </c>
      <c r="E119" s="53"/>
      <c r="F119" s="53"/>
      <c r="G119" s="53"/>
      <c r="J119" s="44"/>
    </row>
    <row r="120" spans="1:10" x14ac:dyDescent="0.2">
      <c r="A120" s="53"/>
      <c r="B120" s="55" t="s">
        <v>178</v>
      </c>
      <c r="C120" s="56">
        <v>45657</v>
      </c>
      <c r="D120" s="56">
        <v>45688</v>
      </c>
      <c r="E120" s="53"/>
      <c r="F120" s="53"/>
      <c r="G120" s="53"/>
      <c r="J120" s="44"/>
    </row>
    <row r="121" spans="1:10" x14ac:dyDescent="0.2">
      <c r="A121" s="57"/>
      <c r="B121" s="28" t="s">
        <v>179</v>
      </c>
      <c r="C121" s="58">
        <v>28.5046</v>
      </c>
      <c r="D121" s="58">
        <v>27.0199</v>
      </c>
      <c r="E121" s="57"/>
      <c r="F121" s="59"/>
      <c r="G121" s="60"/>
    </row>
    <row r="122" spans="1:10" x14ac:dyDescent="0.2">
      <c r="A122" s="57"/>
      <c r="B122" s="28" t="s">
        <v>1025</v>
      </c>
      <c r="C122" s="58">
        <v>27.136299999999999</v>
      </c>
      <c r="D122" s="58">
        <v>25.722899999999999</v>
      </c>
      <c r="E122" s="57"/>
      <c r="F122" s="59"/>
      <c r="G122" s="60"/>
    </row>
    <row r="123" spans="1:10" x14ac:dyDescent="0.2">
      <c r="A123" s="57"/>
      <c r="B123" s="28" t="s">
        <v>180</v>
      </c>
      <c r="C123" s="58">
        <v>27.648299999999999</v>
      </c>
      <c r="D123" s="58">
        <v>26.203099999999999</v>
      </c>
      <c r="E123" s="57"/>
      <c r="F123" s="59"/>
      <c r="G123" s="60"/>
    </row>
    <row r="124" spans="1:10" x14ac:dyDescent="0.2">
      <c r="A124" s="57"/>
      <c r="B124" s="28" t="s">
        <v>1026</v>
      </c>
      <c r="C124" s="58">
        <v>26.2835</v>
      </c>
      <c r="D124" s="58">
        <v>24.909600000000001</v>
      </c>
      <c r="E124" s="57"/>
      <c r="F124" s="59"/>
      <c r="G124" s="60"/>
    </row>
    <row r="125" spans="1:10" x14ac:dyDescent="0.2">
      <c r="A125" s="57"/>
      <c r="B125" s="57"/>
      <c r="C125" s="57"/>
      <c r="D125" s="57"/>
      <c r="E125" s="57"/>
      <c r="F125" s="57"/>
      <c r="G125" s="57"/>
    </row>
    <row r="126" spans="1:10" x14ac:dyDescent="0.2">
      <c r="A126" s="53"/>
      <c r="B126" s="227" t="s">
        <v>865</v>
      </c>
      <c r="C126" s="228"/>
      <c r="D126" s="50" t="s">
        <v>175</v>
      </c>
      <c r="E126" s="53"/>
      <c r="F126" s="53"/>
      <c r="G126" s="53"/>
    </row>
    <row r="127" spans="1:10" x14ac:dyDescent="0.2">
      <c r="A127" s="53"/>
      <c r="B127" s="74"/>
      <c r="C127" s="74"/>
      <c r="D127" s="74"/>
      <c r="E127" s="53"/>
      <c r="F127" s="53"/>
      <c r="G127" s="53"/>
    </row>
    <row r="128" spans="1:10" x14ac:dyDescent="0.2">
      <c r="A128" s="53"/>
      <c r="B128" s="227" t="s">
        <v>181</v>
      </c>
      <c r="C128" s="228"/>
      <c r="D128" s="50" t="s">
        <v>175</v>
      </c>
      <c r="E128" s="64"/>
      <c r="F128" s="53"/>
      <c r="G128" s="53"/>
    </row>
    <row r="129" spans="1:10" x14ac:dyDescent="0.2">
      <c r="A129" s="53"/>
      <c r="B129" s="227" t="s">
        <v>182</v>
      </c>
      <c r="C129" s="228"/>
      <c r="D129" s="50" t="s">
        <v>175</v>
      </c>
      <c r="E129" s="64"/>
      <c r="F129" s="53"/>
      <c r="G129" s="53"/>
    </row>
    <row r="130" spans="1:10" x14ac:dyDescent="0.2">
      <c r="A130" s="53"/>
      <c r="B130" s="227" t="s">
        <v>183</v>
      </c>
      <c r="C130" s="228"/>
      <c r="D130" s="50" t="s">
        <v>175</v>
      </c>
      <c r="E130" s="64"/>
      <c r="F130" s="53"/>
      <c r="G130" s="53"/>
    </row>
    <row r="131" spans="1:10" x14ac:dyDescent="0.2">
      <c r="A131" s="53"/>
      <c r="B131" s="227" t="s">
        <v>184</v>
      </c>
      <c r="C131" s="228"/>
      <c r="D131" s="65">
        <v>0.25251370369828258</v>
      </c>
      <c r="E131" s="53"/>
      <c r="F131" s="43"/>
      <c r="G131" s="63"/>
    </row>
    <row r="133" spans="1:10" x14ac:dyDescent="0.2">
      <c r="B133" s="229" t="s">
        <v>866</v>
      </c>
      <c r="C133" s="229"/>
    </row>
    <row r="135" spans="1:10" ht="153.75" customHeight="1" x14ac:dyDescent="0.2"/>
    <row r="138" spans="1:10" x14ac:dyDescent="0.2">
      <c r="B138" s="66" t="s">
        <v>867</v>
      </c>
      <c r="C138" s="67"/>
      <c r="D138" s="66"/>
    </row>
    <row r="139" spans="1:10" x14ac:dyDescent="0.2">
      <c r="B139" s="66" t="s">
        <v>874</v>
      </c>
      <c r="D139" s="66"/>
    </row>
    <row r="140" spans="1:10" ht="165" customHeight="1" x14ac:dyDescent="0.2"/>
    <row r="142" spans="1:10" x14ac:dyDescent="0.2">
      <c r="J142" s="21"/>
    </row>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sheetData>
  <mergeCells count="18">
    <mergeCell ref="A1:H1"/>
    <mergeCell ref="A2:H2"/>
    <mergeCell ref="A3:H3"/>
    <mergeCell ref="B117:C117"/>
    <mergeCell ref="B118:C118"/>
    <mergeCell ref="B115:D115"/>
    <mergeCell ref="B116:C116"/>
    <mergeCell ref="B109:H109"/>
    <mergeCell ref="B110:H110"/>
    <mergeCell ref="B111:H111"/>
    <mergeCell ref="B112:H112"/>
    <mergeCell ref="B113:H113"/>
    <mergeCell ref="B128:C128"/>
    <mergeCell ref="B129:C129"/>
    <mergeCell ref="B133:C133"/>
    <mergeCell ref="B126:C126"/>
    <mergeCell ref="B130:C130"/>
    <mergeCell ref="B131:C131"/>
  </mergeCells>
  <hyperlinks>
    <hyperlink ref="I1" location="Index!B2" display="Index" xr:uid="{3BA1DD77-DF1E-49F5-9FEC-BCE9DCED7EF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9E739-B361-4C0A-862B-4CCC57F87F03}">
  <sheetPr>
    <outlinePr summaryBelow="0" summaryRight="0"/>
  </sheetPr>
  <dimension ref="A1:Q161"/>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431</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379</v>
      </c>
      <c r="C7" s="28" t="s">
        <v>380</v>
      </c>
      <c r="D7" s="28" t="s">
        <v>39</v>
      </c>
      <c r="E7" s="29">
        <v>5638</v>
      </c>
      <c r="F7" s="30">
        <v>135.8758</v>
      </c>
      <c r="G7" s="31">
        <v>6.3049259999999996E-2</v>
      </c>
      <c r="H7" s="24" t="s">
        <v>146</v>
      </c>
    </row>
    <row r="8" spans="1:9" x14ac:dyDescent="0.2">
      <c r="A8" s="27">
        <v>2</v>
      </c>
      <c r="B8" s="28" t="s">
        <v>350</v>
      </c>
      <c r="C8" s="28" t="s">
        <v>351</v>
      </c>
      <c r="D8" s="28" t="s">
        <v>233</v>
      </c>
      <c r="E8" s="29">
        <v>1960</v>
      </c>
      <c r="F8" s="30">
        <v>112.36582</v>
      </c>
      <c r="G8" s="31">
        <v>5.214013E-2</v>
      </c>
      <c r="H8" s="24" t="s">
        <v>146</v>
      </c>
    </row>
    <row r="9" spans="1:9" x14ac:dyDescent="0.2">
      <c r="A9" s="27">
        <v>3</v>
      </c>
      <c r="B9" s="28" t="s">
        <v>377</v>
      </c>
      <c r="C9" s="28" t="s">
        <v>378</v>
      </c>
      <c r="D9" s="28" t="s">
        <v>208</v>
      </c>
      <c r="E9" s="29">
        <v>21323</v>
      </c>
      <c r="F9" s="30">
        <v>104.81320650000001</v>
      </c>
      <c r="G9" s="31">
        <v>4.8635560000000001E-2</v>
      </c>
      <c r="H9" s="24" t="s">
        <v>146</v>
      </c>
    </row>
    <row r="10" spans="1:9" x14ac:dyDescent="0.2">
      <c r="A10" s="27">
        <v>4</v>
      </c>
      <c r="B10" s="28" t="s">
        <v>352</v>
      </c>
      <c r="C10" s="28" t="s">
        <v>353</v>
      </c>
      <c r="D10" s="28" t="s">
        <v>354</v>
      </c>
      <c r="E10" s="29">
        <v>6568</v>
      </c>
      <c r="F10" s="30">
        <v>99.042156000000006</v>
      </c>
      <c r="G10" s="31">
        <v>4.5957669999999999E-2</v>
      </c>
      <c r="H10" s="24" t="s">
        <v>146</v>
      </c>
    </row>
    <row r="11" spans="1:9" x14ac:dyDescent="0.2">
      <c r="A11" s="27">
        <v>5</v>
      </c>
      <c r="B11" s="28" t="s">
        <v>133</v>
      </c>
      <c r="C11" s="28" t="s">
        <v>134</v>
      </c>
      <c r="D11" s="28" t="s">
        <v>39</v>
      </c>
      <c r="E11" s="29">
        <v>27896</v>
      </c>
      <c r="F11" s="30">
        <v>97.217560000000006</v>
      </c>
      <c r="G11" s="31">
        <v>4.5111020000000002E-2</v>
      </c>
      <c r="H11" s="24" t="s">
        <v>146</v>
      </c>
    </row>
    <row r="12" spans="1:9" x14ac:dyDescent="0.2">
      <c r="A12" s="27">
        <v>6</v>
      </c>
      <c r="B12" s="28" t="s">
        <v>381</v>
      </c>
      <c r="C12" s="28" t="s">
        <v>382</v>
      </c>
      <c r="D12" s="28" t="s">
        <v>223</v>
      </c>
      <c r="E12" s="29">
        <v>30085</v>
      </c>
      <c r="F12" s="30">
        <v>87.126159999999999</v>
      </c>
      <c r="G12" s="31">
        <v>4.0428390000000002E-2</v>
      </c>
      <c r="H12" s="24" t="s">
        <v>146</v>
      </c>
    </row>
    <row r="13" spans="1:9" ht="25.5" x14ac:dyDescent="0.2">
      <c r="A13" s="27">
        <v>7</v>
      </c>
      <c r="B13" s="28" t="s">
        <v>301</v>
      </c>
      <c r="C13" s="28" t="s">
        <v>302</v>
      </c>
      <c r="D13" s="28" t="s">
        <v>258</v>
      </c>
      <c r="E13" s="29">
        <v>1976</v>
      </c>
      <c r="F13" s="30">
        <v>81.978312000000003</v>
      </c>
      <c r="G13" s="31">
        <v>3.8039679999999999E-2</v>
      </c>
      <c r="H13" s="24" t="s">
        <v>146</v>
      </c>
    </row>
    <row r="14" spans="1:9" x14ac:dyDescent="0.2">
      <c r="A14" s="27">
        <v>8</v>
      </c>
      <c r="B14" s="28" t="s">
        <v>52</v>
      </c>
      <c r="C14" s="28" t="s">
        <v>53</v>
      </c>
      <c r="D14" s="28" t="s">
        <v>42</v>
      </c>
      <c r="E14" s="29">
        <v>1987</v>
      </c>
      <c r="F14" s="30">
        <v>79.948931999999999</v>
      </c>
      <c r="G14" s="31">
        <v>3.7098010000000001E-2</v>
      </c>
      <c r="H14" s="24" t="s">
        <v>146</v>
      </c>
    </row>
    <row r="15" spans="1:9" x14ac:dyDescent="0.2">
      <c r="A15" s="27">
        <v>9</v>
      </c>
      <c r="B15" s="28" t="s">
        <v>67</v>
      </c>
      <c r="C15" s="28" t="s">
        <v>68</v>
      </c>
      <c r="D15" s="28" t="s">
        <v>42</v>
      </c>
      <c r="E15" s="29">
        <v>10955</v>
      </c>
      <c r="F15" s="30">
        <v>76.964352500000004</v>
      </c>
      <c r="G15" s="31">
        <v>3.5713099999999998E-2</v>
      </c>
      <c r="H15" s="24" t="s">
        <v>146</v>
      </c>
    </row>
    <row r="16" spans="1:9" x14ac:dyDescent="0.2">
      <c r="A16" s="27">
        <v>10</v>
      </c>
      <c r="B16" s="28" t="s">
        <v>385</v>
      </c>
      <c r="C16" s="28" t="s">
        <v>386</v>
      </c>
      <c r="D16" s="28" t="s">
        <v>33</v>
      </c>
      <c r="E16" s="29">
        <v>22305</v>
      </c>
      <c r="F16" s="30">
        <v>68.275604999999999</v>
      </c>
      <c r="G16" s="31">
        <v>3.1681330000000001E-2</v>
      </c>
      <c r="H16" s="24" t="s">
        <v>146</v>
      </c>
    </row>
    <row r="17" spans="1:8" x14ac:dyDescent="0.2">
      <c r="A17" s="27">
        <v>11</v>
      </c>
      <c r="B17" s="28" t="s">
        <v>383</v>
      </c>
      <c r="C17" s="28" t="s">
        <v>384</v>
      </c>
      <c r="D17" s="28" t="s">
        <v>195</v>
      </c>
      <c r="E17" s="29">
        <v>9732</v>
      </c>
      <c r="F17" s="30">
        <v>68.041278000000005</v>
      </c>
      <c r="G17" s="31">
        <v>3.1572599999999999E-2</v>
      </c>
      <c r="H17" s="24" t="s">
        <v>146</v>
      </c>
    </row>
    <row r="18" spans="1:8" x14ac:dyDescent="0.2">
      <c r="A18" s="27">
        <v>12</v>
      </c>
      <c r="B18" s="28" t="s">
        <v>387</v>
      </c>
      <c r="C18" s="28" t="s">
        <v>388</v>
      </c>
      <c r="D18" s="28" t="s">
        <v>33</v>
      </c>
      <c r="E18" s="29">
        <v>101192</v>
      </c>
      <c r="F18" s="30">
        <v>67.292680000000004</v>
      </c>
      <c r="G18" s="31">
        <v>3.1225240000000001E-2</v>
      </c>
      <c r="H18" s="24" t="s">
        <v>146</v>
      </c>
    </row>
    <row r="19" spans="1:8" ht="25.5" x14ac:dyDescent="0.2">
      <c r="A19" s="27">
        <v>13</v>
      </c>
      <c r="B19" s="28" t="s">
        <v>393</v>
      </c>
      <c r="C19" s="28" t="s">
        <v>394</v>
      </c>
      <c r="D19" s="28" t="s">
        <v>198</v>
      </c>
      <c r="E19" s="29">
        <v>1238</v>
      </c>
      <c r="F19" s="30">
        <v>66.636588000000003</v>
      </c>
      <c r="G19" s="31">
        <v>3.092079E-2</v>
      </c>
      <c r="H19" s="24" t="s">
        <v>146</v>
      </c>
    </row>
    <row r="20" spans="1:8" x14ac:dyDescent="0.2">
      <c r="A20" s="27">
        <v>14</v>
      </c>
      <c r="B20" s="28" t="s">
        <v>244</v>
      </c>
      <c r="C20" s="28" t="s">
        <v>245</v>
      </c>
      <c r="D20" s="28" t="s">
        <v>120</v>
      </c>
      <c r="E20" s="29">
        <v>700</v>
      </c>
      <c r="F20" s="30">
        <v>65.538550000000001</v>
      </c>
      <c r="G20" s="31">
        <v>3.0411279999999999E-2</v>
      </c>
      <c r="H20" s="24" t="s">
        <v>146</v>
      </c>
    </row>
    <row r="21" spans="1:8" x14ac:dyDescent="0.2">
      <c r="A21" s="27">
        <v>15</v>
      </c>
      <c r="B21" s="28" t="s">
        <v>389</v>
      </c>
      <c r="C21" s="28" t="s">
        <v>390</v>
      </c>
      <c r="D21" s="28" t="s">
        <v>33</v>
      </c>
      <c r="E21" s="29">
        <v>178820</v>
      </c>
      <c r="F21" s="30">
        <v>64.232144000000005</v>
      </c>
      <c r="G21" s="31">
        <v>2.9805080000000001E-2</v>
      </c>
      <c r="H21" s="24" t="s">
        <v>146</v>
      </c>
    </row>
    <row r="22" spans="1:8" ht="25.5" x14ac:dyDescent="0.2">
      <c r="A22" s="27">
        <v>16</v>
      </c>
      <c r="B22" s="28" t="s">
        <v>415</v>
      </c>
      <c r="C22" s="28" t="s">
        <v>416</v>
      </c>
      <c r="D22" s="28" t="s">
        <v>198</v>
      </c>
      <c r="E22" s="29">
        <v>9440</v>
      </c>
      <c r="F22" s="30">
        <v>55.134320000000002</v>
      </c>
      <c r="G22" s="31">
        <v>2.5583499999999999E-2</v>
      </c>
      <c r="H22" s="24" t="s">
        <v>146</v>
      </c>
    </row>
    <row r="23" spans="1:8" x14ac:dyDescent="0.2">
      <c r="A23" s="27">
        <v>17</v>
      </c>
      <c r="B23" s="28" t="s">
        <v>397</v>
      </c>
      <c r="C23" s="28" t="s">
        <v>398</v>
      </c>
      <c r="D23" s="28" t="s">
        <v>42</v>
      </c>
      <c r="E23" s="29">
        <v>5262</v>
      </c>
      <c r="F23" s="30">
        <v>52.456878000000003</v>
      </c>
      <c r="G23" s="31">
        <v>2.4341109999999999E-2</v>
      </c>
      <c r="H23" s="24" t="s">
        <v>146</v>
      </c>
    </row>
    <row r="24" spans="1:8" ht="25.5" x14ac:dyDescent="0.2">
      <c r="A24" s="27">
        <v>18</v>
      </c>
      <c r="B24" s="28" t="s">
        <v>402</v>
      </c>
      <c r="C24" s="28" t="s">
        <v>403</v>
      </c>
      <c r="D24" s="28" t="s">
        <v>404</v>
      </c>
      <c r="E24" s="29">
        <v>14767</v>
      </c>
      <c r="F24" s="30">
        <v>49.491600499999997</v>
      </c>
      <c r="G24" s="31">
        <v>2.2965159999999998E-2</v>
      </c>
      <c r="H24" s="24" t="s">
        <v>146</v>
      </c>
    </row>
    <row r="25" spans="1:8" x14ac:dyDescent="0.2">
      <c r="A25" s="27">
        <v>19</v>
      </c>
      <c r="B25" s="28" t="s">
        <v>399</v>
      </c>
      <c r="C25" s="28" t="s">
        <v>400</v>
      </c>
      <c r="D25" s="28" t="s">
        <v>401</v>
      </c>
      <c r="E25" s="29">
        <v>4462</v>
      </c>
      <c r="F25" s="30">
        <v>48.658110000000001</v>
      </c>
      <c r="G25" s="31">
        <v>2.2578399999999998E-2</v>
      </c>
      <c r="H25" s="24" t="s">
        <v>146</v>
      </c>
    </row>
    <row r="26" spans="1:8" x14ac:dyDescent="0.2">
      <c r="A26" s="27">
        <v>20</v>
      </c>
      <c r="B26" s="28" t="s">
        <v>395</v>
      </c>
      <c r="C26" s="28" t="s">
        <v>396</v>
      </c>
      <c r="D26" s="28" t="s">
        <v>233</v>
      </c>
      <c r="E26" s="29">
        <v>1988</v>
      </c>
      <c r="F26" s="30">
        <v>46.640467999999998</v>
      </c>
      <c r="G26" s="31">
        <v>2.1642169999999999E-2</v>
      </c>
      <c r="H26" s="24" t="s">
        <v>146</v>
      </c>
    </row>
    <row r="27" spans="1:8" ht="25.5" x14ac:dyDescent="0.2">
      <c r="A27" s="27">
        <v>21</v>
      </c>
      <c r="B27" s="28" t="s">
        <v>50</v>
      </c>
      <c r="C27" s="28" t="s">
        <v>51</v>
      </c>
      <c r="D27" s="28" t="s">
        <v>25</v>
      </c>
      <c r="E27" s="29">
        <v>936</v>
      </c>
      <c r="F27" s="30">
        <v>45.254196</v>
      </c>
      <c r="G27" s="31">
        <v>2.0998909999999999E-2</v>
      </c>
      <c r="H27" s="24" t="s">
        <v>146</v>
      </c>
    </row>
    <row r="28" spans="1:8" ht="25.5" x14ac:dyDescent="0.2">
      <c r="A28" s="27">
        <v>22</v>
      </c>
      <c r="B28" s="28" t="s">
        <v>391</v>
      </c>
      <c r="C28" s="28" t="s">
        <v>392</v>
      </c>
      <c r="D28" s="28" t="s">
        <v>198</v>
      </c>
      <c r="E28" s="29">
        <v>2376</v>
      </c>
      <c r="F28" s="30">
        <v>41.910263999999998</v>
      </c>
      <c r="G28" s="31">
        <v>1.9447249999999999E-2</v>
      </c>
      <c r="H28" s="24" t="s">
        <v>146</v>
      </c>
    </row>
    <row r="29" spans="1:8" x14ac:dyDescent="0.2">
      <c r="A29" s="27">
        <v>23</v>
      </c>
      <c r="B29" s="28" t="s">
        <v>409</v>
      </c>
      <c r="C29" s="28" t="s">
        <v>410</v>
      </c>
      <c r="D29" s="28" t="s">
        <v>195</v>
      </c>
      <c r="E29" s="29">
        <v>7579</v>
      </c>
      <c r="F29" s="30">
        <v>40.517333999999998</v>
      </c>
      <c r="G29" s="31">
        <v>1.8800910000000001E-2</v>
      </c>
      <c r="H29" s="24" t="s">
        <v>146</v>
      </c>
    </row>
    <row r="30" spans="1:8" x14ac:dyDescent="0.2">
      <c r="A30" s="27">
        <v>24</v>
      </c>
      <c r="B30" s="28" t="s">
        <v>411</v>
      </c>
      <c r="C30" s="28" t="s">
        <v>412</v>
      </c>
      <c r="D30" s="28" t="s">
        <v>42</v>
      </c>
      <c r="E30" s="29">
        <v>8416</v>
      </c>
      <c r="F30" s="30">
        <v>39.765599999999999</v>
      </c>
      <c r="G30" s="31">
        <v>1.8452079999999999E-2</v>
      </c>
      <c r="H30" s="24" t="s">
        <v>146</v>
      </c>
    </row>
    <row r="31" spans="1:8" x14ac:dyDescent="0.2">
      <c r="A31" s="27">
        <v>25</v>
      </c>
      <c r="B31" s="28" t="s">
        <v>317</v>
      </c>
      <c r="C31" s="28" t="s">
        <v>318</v>
      </c>
      <c r="D31" s="28" t="s">
        <v>120</v>
      </c>
      <c r="E31" s="29">
        <v>2453</v>
      </c>
      <c r="F31" s="30">
        <v>37.256163999999998</v>
      </c>
      <c r="G31" s="31">
        <v>1.7287650000000002E-2</v>
      </c>
      <c r="H31" s="24" t="s">
        <v>146</v>
      </c>
    </row>
    <row r="32" spans="1:8" x14ac:dyDescent="0.2">
      <c r="A32" s="27">
        <v>26</v>
      </c>
      <c r="B32" s="28" t="s">
        <v>413</v>
      </c>
      <c r="C32" s="28" t="s">
        <v>414</v>
      </c>
      <c r="D32" s="28" t="s">
        <v>223</v>
      </c>
      <c r="E32" s="29">
        <v>5099</v>
      </c>
      <c r="F32" s="30">
        <v>37.011091499999999</v>
      </c>
      <c r="G32" s="31">
        <v>1.717393E-2</v>
      </c>
      <c r="H32" s="24" t="s">
        <v>146</v>
      </c>
    </row>
    <row r="33" spans="1:8" x14ac:dyDescent="0.2">
      <c r="A33" s="27">
        <v>27</v>
      </c>
      <c r="B33" s="28" t="s">
        <v>419</v>
      </c>
      <c r="C33" s="28" t="s">
        <v>420</v>
      </c>
      <c r="D33" s="28" t="s">
        <v>120</v>
      </c>
      <c r="E33" s="29">
        <v>3328</v>
      </c>
      <c r="F33" s="30">
        <v>36.037247999999998</v>
      </c>
      <c r="G33" s="31">
        <v>1.6722049999999999E-2</v>
      </c>
      <c r="H33" s="24" t="s">
        <v>146</v>
      </c>
    </row>
    <row r="34" spans="1:8" x14ac:dyDescent="0.2">
      <c r="A34" s="27">
        <v>28</v>
      </c>
      <c r="B34" s="28" t="s">
        <v>405</v>
      </c>
      <c r="C34" s="28" t="s">
        <v>406</v>
      </c>
      <c r="D34" s="28" t="s">
        <v>39</v>
      </c>
      <c r="E34" s="29">
        <v>4403</v>
      </c>
      <c r="F34" s="30">
        <v>35.428739499999999</v>
      </c>
      <c r="G34" s="31">
        <v>1.643969E-2</v>
      </c>
      <c r="H34" s="24" t="s">
        <v>146</v>
      </c>
    </row>
    <row r="35" spans="1:8" x14ac:dyDescent="0.2">
      <c r="A35" s="27">
        <v>29</v>
      </c>
      <c r="B35" s="28" t="s">
        <v>102</v>
      </c>
      <c r="C35" s="28" t="s">
        <v>103</v>
      </c>
      <c r="D35" s="28" t="s">
        <v>42</v>
      </c>
      <c r="E35" s="29">
        <v>1691</v>
      </c>
      <c r="F35" s="30">
        <v>32.593179499999998</v>
      </c>
      <c r="G35" s="31">
        <v>1.5123930000000001E-2</v>
      </c>
      <c r="H35" s="24" t="s">
        <v>146</v>
      </c>
    </row>
    <row r="36" spans="1:8" x14ac:dyDescent="0.2">
      <c r="A36" s="27">
        <v>30</v>
      </c>
      <c r="B36" s="28" t="s">
        <v>417</v>
      </c>
      <c r="C36" s="28" t="s">
        <v>418</v>
      </c>
      <c r="D36" s="28" t="s">
        <v>354</v>
      </c>
      <c r="E36" s="29">
        <v>7431</v>
      </c>
      <c r="F36" s="30">
        <v>31.548310499999999</v>
      </c>
      <c r="G36" s="31">
        <v>1.463909E-2</v>
      </c>
      <c r="H36" s="24" t="s">
        <v>146</v>
      </c>
    </row>
    <row r="37" spans="1:8" x14ac:dyDescent="0.2">
      <c r="A37" s="27">
        <v>31</v>
      </c>
      <c r="B37" s="28" t="s">
        <v>421</v>
      </c>
      <c r="C37" s="28" t="s">
        <v>422</v>
      </c>
      <c r="D37" s="28" t="s">
        <v>80</v>
      </c>
      <c r="E37" s="29">
        <v>2508</v>
      </c>
      <c r="F37" s="30">
        <v>26.644991999999998</v>
      </c>
      <c r="G37" s="31">
        <v>1.2363839999999999E-2</v>
      </c>
      <c r="H37" s="24" t="s">
        <v>146</v>
      </c>
    </row>
    <row r="38" spans="1:8" x14ac:dyDescent="0.2">
      <c r="A38" s="27">
        <v>32</v>
      </c>
      <c r="B38" s="28" t="s">
        <v>423</v>
      </c>
      <c r="C38" s="28" t="s">
        <v>424</v>
      </c>
      <c r="D38" s="28" t="s">
        <v>39</v>
      </c>
      <c r="E38" s="29">
        <v>4055</v>
      </c>
      <c r="F38" s="30">
        <v>25.14911</v>
      </c>
      <c r="G38" s="31">
        <v>1.166972E-2</v>
      </c>
      <c r="H38" s="24" t="s">
        <v>146</v>
      </c>
    </row>
    <row r="39" spans="1:8" x14ac:dyDescent="0.2">
      <c r="A39" s="27">
        <v>33</v>
      </c>
      <c r="B39" s="28" t="s">
        <v>425</v>
      </c>
      <c r="C39" s="28" t="s">
        <v>426</v>
      </c>
      <c r="D39" s="28" t="s">
        <v>139</v>
      </c>
      <c r="E39" s="29">
        <v>18454</v>
      </c>
      <c r="F39" s="30">
        <v>24.842774800000001</v>
      </c>
      <c r="G39" s="31">
        <v>1.1527580000000001E-2</v>
      </c>
      <c r="H39" s="24" t="s">
        <v>146</v>
      </c>
    </row>
    <row r="40" spans="1:8" x14ac:dyDescent="0.2">
      <c r="A40" s="27">
        <v>34</v>
      </c>
      <c r="B40" s="28" t="s">
        <v>313</v>
      </c>
      <c r="C40" s="28" t="s">
        <v>314</v>
      </c>
      <c r="D40" s="28" t="s">
        <v>47</v>
      </c>
      <c r="E40" s="29">
        <v>1390</v>
      </c>
      <c r="F40" s="30">
        <v>22.821020000000001</v>
      </c>
      <c r="G40" s="31">
        <v>1.058944E-2</v>
      </c>
      <c r="H40" s="24" t="s">
        <v>146</v>
      </c>
    </row>
    <row r="41" spans="1:8" x14ac:dyDescent="0.2">
      <c r="A41" s="27">
        <v>35</v>
      </c>
      <c r="B41" s="28" t="s">
        <v>45</v>
      </c>
      <c r="C41" s="28" t="s">
        <v>46</v>
      </c>
      <c r="D41" s="28" t="s">
        <v>47</v>
      </c>
      <c r="E41" s="29">
        <v>1521</v>
      </c>
      <c r="F41" s="30">
        <v>17.811670500000002</v>
      </c>
      <c r="G41" s="31">
        <v>8.2649899999999998E-3</v>
      </c>
      <c r="H41" s="24" t="s">
        <v>146</v>
      </c>
    </row>
    <row r="42" spans="1:8" x14ac:dyDescent="0.2">
      <c r="A42" s="27">
        <v>36</v>
      </c>
      <c r="B42" s="28" t="s">
        <v>427</v>
      </c>
      <c r="C42" s="28" t="s">
        <v>428</v>
      </c>
      <c r="D42" s="28" t="s">
        <v>42</v>
      </c>
      <c r="E42" s="29">
        <v>1475</v>
      </c>
      <c r="F42" s="30">
        <v>17.503824999999999</v>
      </c>
      <c r="G42" s="31">
        <v>8.1221499999999999E-3</v>
      </c>
      <c r="H42" s="24" t="s">
        <v>146</v>
      </c>
    </row>
    <row r="43" spans="1:8" x14ac:dyDescent="0.2">
      <c r="A43" s="27">
        <v>37</v>
      </c>
      <c r="B43" s="28" t="s">
        <v>407</v>
      </c>
      <c r="C43" s="28" t="s">
        <v>408</v>
      </c>
      <c r="D43" s="28" t="s">
        <v>120</v>
      </c>
      <c r="E43" s="29">
        <v>2512</v>
      </c>
      <c r="F43" s="30">
        <v>16.772624</v>
      </c>
      <c r="G43" s="31">
        <v>7.78285E-3</v>
      </c>
      <c r="H43" s="24" t="s">
        <v>146</v>
      </c>
    </row>
    <row r="44" spans="1:8" x14ac:dyDescent="0.2">
      <c r="A44" s="27">
        <v>38</v>
      </c>
      <c r="B44" s="28" t="s">
        <v>429</v>
      </c>
      <c r="C44" s="28" t="s">
        <v>430</v>
      </c>
      <c r="D44" s="28" t="s">
        <v>83</v>
      </c>
      <c r="E44" s="29">
        <v>2606</v>
      </c>
      <c r="F44" s="30">
        <v>11.310040000000001</v>
      </c>
      <c r="G44" s="31">
        <v>5.2481000000000003E-3</v>
      </c>
      <c r="H44" s="24" t="s">
        <v>146</v>
      </c>
    </row>
    <row r="45" spans="1:8" x14ac:dyDescent="0.2">
      <c r="A45" s="25"/>
      <c r="B45" s="25"/>
      <c r="C45" s="26" t="s">
        <v>145</v>
      </c>
      <c r="D45" s="25"/>
      <c r="E45" s="25" t="s">
        <v>146</v>
      </c>
      <c r="F45" s="32">
        <v>2067.9087037999998</v>
      </c>
      <c r="G45" s="33">
        <v>0.95955363999999999</v>
      </c>
      <c r="H45" s="24" t="s">
        <v>146</v>
      </c>
    </row>
    <row r="46" spans="1:8" x14ac:dyDescent="0.2">
      <c r="A46" s="25"/>
      <c r="B46" s="25"/>
      <c r="C46" s="34"/>
      <c r="D46" s="25"/>
      <c r="E46" s="25"/>
      <c r="F46" s="35"/>
      <c r="G46" s="35"/>
      <c r="H46" s="24" t="s">
        <v>146</v>
      </c>
    </row>
    <row r="47" spans="1:8" x14ac:dyDescent="0.2">
      <c r="A47" s="25"/>
      <c r="B47" s="25"/>
      <c r="C47" s="26" t="s">
        <v>147</v>
      </c>
      <c r="D47" s="25"/>
      <c r="E47" s="25"/>
      <c r="F47" s="25"/>
      <c r="G47" s="25"/>
      <c r="H47" s="24" t="s">
        <v>146</v>
      </c>
    </row>
    <row r="48" spans="1:8" x14ac:dyDescent="0.2">
      <c r="A48" s="25"/>
      <c r="B48" s="25"/>
      <c r="C48" s="26" t="s">
        <v>145</v>
      </c>
      <c r="D48" s="25"/>
      <c r="E48" s="25" t="s">
        <v>146</v>
      </c>
      <c r="F48" s="36" t="s">
        <v>148</v>
      </c>
      <c r="G48" s="33">
        <v>0</v>
      </c>
      <c r="H48" s="24" t="s">
        <v>146</v>
      </c>
    </row>
    <row r="49" spans="1:8" x14ac:dyDescent="0.2">
      <c r="A49" s="25"/>
      <c r="B49" s="25"/>
      <c r="C49" s="34"/>
      <c r="D49" s="25"/>
      <c r="E49" s="25"/>
      <c r="F49" s="35"/>
      <c r="G49" s="35"/>
      <c r="H49" s="24" t="s">
        <v>146</v>
      </c>
    </row>
    <row r="50" spans="1:8" x14ac:dyDescent="0.2">
      <c r="A50" s="25"/>
      <c r="B50" s="25"/>
      <c r="C50" s="26" t="s">
        <v>149</v>
      </c>
      <c r="D50" s="25"/>
      <c r="E50" s="25"/>
      <c r="F50" s="25"/>
      <c r="G50" s="25"/>
      <c r="H50" s="24" t="s">
        <v>146</v>
      </c>
    </row>
    <row r="51" spans="1:8" x14ac:dyDescent="0.2">
      <c r="A51" s="25"/>
      <c r="B51" s="25"/>
      <c r="C51" s="26" t="s">
        <v>145</v>
      </c>
      <c r="D51" s="25"/>
      <c r="E51" s="25" t="s">
        <v>146</v>
      </c>
      <c r="F51" s="36" t="s">
        <v>148</v>
      </c>
      <c r="G51" s="33">
        <v>0</v>
      </c>
      <c r="H51" s="24" t="s">
        <v>146</v>
      </c>
    </row>
    <row r="52" spans="1:8" x14ac:dyDescent="0.2">
      <c r="A52" s="25"/>
      <c r="B52" s="25"/>
      <c r="C52" s="34"/>
      <c r="D52" s="25"/>
      <c r="E52" s="25"/>
      <c r="F52" s="35"/>
      <c r="G52" s="35"/>
      <c r="H52" s="24" t="s">
        <v>146</v>
      </c>
    </row>
    <row r="53" spans="1:8" x14ac:dyDescent="0.2">
      <c r="A53" s="25"/>
      <c r="B53" s="25"/>
      <c r="C53" s="26" t="s">
        <v>150</v>
      </c>
      <c r="D53" s="25"/>
      <c r="E53" s="25"/>
      <c r="F53" s="25"/>
      <c r="G53" s="25"/>
      <c r="H53" s="24" t="s">
        <v>146</v>
      </c>
    </row>
    <row r="54" spans="1:8" x14ac:dyDescent="0.2">
      <c r="A54" s="25"/>
      <c r="B54" s="25"/>
      <c r="C54" s="26" t="s">
        <v>145</v>
      </c>
      <c r="D54" s="25"/>
      <c r="E54" s="25" t="s">
        <v>146</v>
      </c>
      <c r="F54" s="36" t="s">
        <v>148</v>
      </c>
      <c r="G54" s="33">
        <v>0</v>
      </c>
      <c r="H54" s="24" t="s">
        <v>146</v>
      </c>
    </row>
    <row r="55" spans="1:8" x14ac:dyDescent="0.2">
      <c r="A55" s="25"/>
      <c r="B55" s="25"/>
      <c r="C55" s="34"/>
      <c r="D55" s="25"/>
      <c r="E55" s="25"/>
      <c r="F55" s="35"/>
      <c r="G55" s="35"/>
      <c r="H55" s="24" t="s">
        <v>146</v>
      </c>
    </row>
    <row r="56" spans="1:8" x14ac:dyDescent="0.2">
      <c r="A56" s="25"/>
      <c r="B56" s="25"/>
      <c r="C56" s="26" t="s">
        <v>151</v>
      </c>
      <c r="D56" s="25"/>
      <c r="E56" s="25"/>
      <c r="F56" s="35"/>
      <c r="G56" s="35"/>
      <c r="H56" s="24" t="s">
        <v>146</v>
      </c>
    </row>
    <row r="57" spans="1:8" x14ac:dyDescent="0.2">
      <c r="A57" s="25"/>
      <c r="B57" s="25"/>
      <c r="C57" s="26" t="s">
        <v>145</v>
      </c>
      <c r="D57" s="25"/>
      <c r="E57" s="25" t="s">
        <v>146</v>
      </c>
      <c r="F57" s="36" t="s">
        <v>148</v>
      </c>
      <c r="G57" s="33">
        <v>0</v>
      </c>
      <c r="H57" s="24" t="s">
        <v>146</v>
      </c>
    </row>
    <row r="58" spans="1:8" x14ac:dyDescent="0.2">
      <c r="A58" s="25"/>
      <c r="B58" s="25"/>
      <c r="C58" s="34"/>
      <c r="D58" s="25"/>
      <c r="E58" s="25"/>
      <c r="F58" s="35"/>
      <c r="G58" s="35"/>
      <c r="H58" s="24" t="s">
        <v>146</v>
      </c>
    </row>
    <row r="59" spans="1:8" x14ac:dyDescent="0.2">
      <c r="A59" s="25"/>
      <c r="B59" s="25"/>
      <c r="C59" s="26" t="s">
        <v>152</v>
      </c>
      <c r="D59" s="25"/>
      <c r="E59" s="25"/>
      <c r="F59" s="35"/>
      <c r="G59" s="35"/>
      <c r="H59" s="24" t="s">
        <v>146</v>
      </c>
    </row>
    <row r="60" spans="1:8" x14ac:dyDescent="0.2">
      <c r="A60" s="25"/>
      <c r="B60" s="25"/>
      <c r="C60" s="26" t="s">
        <v>145</v>
      </c>
      <c r="D60" s="25"/>
      <c r="E60" s="25" t="s">
        <v>146</v>
      </c>
      <c r="F60" s="36" t="s">
        <v>148</v>
      </c>
      <c r="G60" s="33">
        <v>0</v>
      </c>
      <c r="H60" s="24" t="s">
        <v>146</v>
      </c>
    </row>
    <row r="61" spans="1:8" x14ac:dyDescent="0.2">
      <c r="A61" s="25"/>
      <c r="B61" s="25"/>
      <c r="C61" s="34"/>
      <c r="D61" s="25"/>
      <c r="E61" s="25"/>
      <c r="F61" s="35"/>
      <c r="G61" s="35"/>
      <c r="H61" s="24" t="s">
        <v>146</v>
      </c>
    </row>
    <row r="62" spans="1:8" x14ac:dyDescent="0.2">
      <c r="A62" s="25"/>
      <c r="B62" s="25"/>
      <c r="C62" s="26" t="s">
        <v>153</v>
      </c>
      <c r="D62" s="25"/>
      <c r="E62" s="25"/>
      <c r="F62" s="32">
        <v>2067.9087037999998</v>
      </c>
      <c r="G62" s="33">
        <v>0.95955363999999999</v>
      </c>
      <c r="H62" s="24" t="s">
        <v>146</v>
      </c>
    </row>
    <row r="63" spans="1:8" x14ac:dyDescent="0.2">
      <c r="A63" s="25"/>
      <c r="B63" s="25"/>
      <c r="C63" s="34"/>
      <c r="D63" s="25"/>
      <c r="E63" s="25"/>
      <c r="F63" s="35"/>
      <c r="G63" s="35"/>
      <c r="H63" s="24" t="s">
        <v>146</v>
      </c>
    </row>
    <row r="64" spans="1:8" x14ac:dyDescent="0.2">
      <c r="A64" s="25"/>
      <c r="B64" s="25"/>
      <c r="C64" s="26" t="s">
        <v>154</v>
      </c>
      <c r="D64" s="25"/>
      <c r="E64" s="25"/>
      <c r="F64" s="35"/>
      <c r="G64" s="35"/>
      <c r="H64" s="24" t="s">
        <v>146</v>
      </c>
    </row>
    <row r="65" spans="1:8" x14ac:dyDescent="0.2">
      <c r="A65" s="25"/>
      <c r="B65" s="25"/>
      <c r="C65" s="26" t="s">
        <v>10</v>
      </c>
      <c r="D65" s="25"/>
      <c r="E65" s="25"/>
      <c r="F65" s="35"/>
      <c r="G65" s="35"/>
      <c r="H65" s="24" t="s">
        <v>146</v>
      </c>
    </row>
    <row r="66" spans="1:8" x14ac:dyDescent="0.2">
      <c r="A66" s="25"/>
      <c r="B66" s="25"/>
      <c r="C66" s="26" t="s">
        <v>145</v>
      </c>
      <c r="D66" s="25"/>
      <c r="E66" s="25" t="s">
        <v>146</v>
      </c>
      <c r="F66" s="36" t="s">
        <v>148</v>
      </c>
      <c r="G66" s="33">
        <v>0</v>
      </c>
      <c r="H66" s="24" t="s">
        <v>146</v>
      </c>
    </row>
    <row r="67" spans="1:8" x14ac:dyDescent="0.2">
      <c r="A67" s="25"/>
      <c r="B67" s="25"/>
      <c r="C67" s="34"/>
      <c r="D67" s="25"/>
      <c r="E67" s="25"/>
      <c r="F67" s="35"/>
      <c r="G67" s="35"/>
      <c r="H67" s="24" t="s">
        <v>146</v>
      </c>
    </row>
    <row r="68" spans="1:8" x14ac:dyDescent="0.2">
      <c r="A68" s="25"/>
      <c r="B68" s="25"/>
      <c r="C68" s="26" t="s">
        <v>155</v>
      </c>
      <c r="D68" s="25"/>
      <c r="E68" s="25"/>
      <c r="F68" s="25"/>
      <c r="G68" s="25"/>
      <c r="H68" s="24" t="s">
        <v>146</v>
      </c>
    </row>
    <row r="69" spans="1:8" x14ac:dyDescent="0.2">
      <c r="A69" s="25"/>
      <c r="B69" s="25"/>
      <c r="C69" s="26" t="s">
        <v>145</v>
      </c>
      <c r="D69" s="25"/>
      <c r="E69" s="25" t="s">
        <v>146</v>
      </c>
      <c r="F69" s="36" t="s">
        <v>148</v>
      </c>
      <c r="G69" s="33">
        <v>0</v>
      </c>
      <c r="H69" s="24" t="s">
        <v>146</v>
      </c>
    </row>
    <row r="70" spans="1:8" x14ac:dyDescent="0.2">
      <c r="A70" s="25"/>
      <c r="B70" s="25"/>
      <c r="C70" s="34"/>
      <c r="D70" s="25"/>
      <c r="E70" s="25"/>
      <c r="F70" s="35"/>
      <c r="G70" s="35"/>
      <c r="H70" s="24" t="s">
        <v>146</v>
      </c>
    </row>
    <row r="71" spans="1:8" x14ac:dyDescent="0.2">
      <c r="A71" s="25"/>
      <c r="B71" s="25"/>
      <c r="C71" s="26" t="s">
        <v>156</v>
      </c>
      <c r="D71" s="25"/>
      <c r="E71" s="25"/>
      <c r="F71" s="25"/>
      <c r="G71" s="25"/>
      <c r="H71" s="24" t="s">
        <v>146</v>
      </c>
    </row>
    <row r="72" spans="1:8" x14ac:dyDescent="0.2">
      <c r="A72" s="25"/>
      <c r="B72" s="25"/>
      <c r="C72" s="26" t="s">
        <v>145</v>
      </c>
      <c r="D72" s="25"/>
      <c r="E72" s="25" t="s">
        <v>146</v>
      </c>
      <c r="F72" s="36" t="s">
        <v>148</v>
      </c>
      <c r="G72" s="33">
        <v>0</v>
      </c>
      <c r="H72" s="24" t="s">
        <v>146</v>
      </c>
    </row>
    <row r="73" spans="1:8" x14ac:dyDescent="0.2">
      <c r="A73" s="25"/>
      <c r="B73" s="25"/>
      <c r="C73" s="34"/>
      <c r="D73" s="25"/>
      <c r="E73" s="25"/>
      <c r="F73" s="35"/>
      <c r="G73" s="35"/>
      <c r="H73" s="24" t="s">
        <v>146</v>
      </c>
    </row>
    <row r="74" spans="1:8" x14ac:dyDescent="0.2">
      <c r="A74" s="25"/>
      <c r="B74" s="25"/>
      <c r="C74" s="26" t="s">
        <v>157</v>
      </c>
      <c r="D74" s="25"/>
      <c r="E74" s="25"/>
      <c r="F74" s="35"/>
      <c r="G74" s="35"/>
      <c r="H74" s="24" t="s">
        <v>146</v>
      </c>
    </row>
    <row r="75" spans="1:8" x14ac:dyDescent="0.2">
      <c r="A75" s="25"/>
      <c r="B75" s="25"/>
      <c r="C75" s="26" t="s">
        <v>145</v>
      </c>
      <c r="D75" s="25"/>
      <c r="E75" s="25" t="s">
        <v>146</v>
      </c>
      <c r="F75" s="36" t="s">
        <v>148</v>
      </c>
      <c r="G75" s="33">
        <v>0</v>
      </c>
      <c r="H75" s="24" t="s">
        <v>146</v>
      </c>
    </row>
    <row r="76" spans="1:8" x14ac:dyDescent="0.2">
      <c r="A76" s="25"/>
      <c r="B76" s="25"/>
      <c r="C76" s="34"/>
      <c r="D76" s="25"/>
      <c r="E76" s="25"/>
      <c r="F76" s="35"/>
      <c r="G76" s="35"/>
      <c r="H76" s="24" t="s">
        <v>146</v>
      </c>
    </row>
    <row r="77" spans="1:8" x14ac:dyDescent="0.2">
      <c r="A77" s="25"/>
      <c r="B77" s="25"/>
      <c r="C77" s="26" t="s">
        <v>158</v>
      </c>
      <c r="D77" s="25"/>
      <c r="E77" s="25"/>
      <c r="F77" s="32">
        <v>0</v>
      </c>
      <c r="G77" s="33">
        <v>0</v>
      </c>
      <c r="H77" s="24" t="s">
        <v>146</v>
      </c>
    </row>
    <row r="78" spans="1:8" x14ac:dyDescent="0.2">
      <c r="A78" s="25"/>
      <c r="B78" s="25"/>
      <c r="C78" s="34"/>
      <c r="D78" s="25"/>
      <c r="E78" s="25"/>
      <c r="F78" s="35"/>
      <c r="G78" s="35"/>
      <c r="H78" s="24" t="s">
        <v>146</v>
      </c>
    </row>
    <row r="79" spans="1:8" x14ac:dyDescent="0.2">
      <c r="A79" s="25"/>
      <c r="B79" s="25"/>
      <c r="C79" s="26" t="s">
        <v>159</v>
      </c>
      <c r="D79" s="25"/>
      <c r="E79" s="25"/>
      <c r="F79" s="35"/>
      <c r="G79" s="35"/>
      <c r="H79" s="24" t="s">
        <v>146</v>
      </c>
    </row>
    <row r="80" spans="1:8" x14ac:dyDescent="0.2">
      <c r="A80" s="25"/>
      <c r="B80" s="25"/>
      <c r="C80" s="26" t="s">
        <v>160</v>
      </c>
      <c r="D80" s="25"/>
      <c r="E80" s="25"/>
      <c r="F80" s="35"/>
      <c r="G80" s="35"/>
      <c r="H80" s="24" t="s">
        <v>146</v>
      </c>
    </row>
    <row r="81" spans="1:8" x14ac:dyDescent="0.2">
      <c r="A81" s="25"/>
      <c r="B81" s="25"/>
      <c r="C81" s="26" t="s">
        <v>145</v>
      </c>
      <c r="D81" s="25"/>
      <c r="E81" s="25" t="s">
        <v>146</v>
      </c>
      <c r="F81" s="36" t="s">
        <v>148</v>
      </c>
      <c r="G81" s="33">
        <v>0</v>
      </c>
      <c r="H81" s="24" t="s">
        <v>146</v>
      </c>
    </row>
    <row r="82" spans="1:8" x14ac:dyDescent="0.2">
      <c r="A82" s="25"/>
      <c r="B82" s="25"/>
      <c r="C82" s="34"/>
      <c r="D82" s="25"/>
      <c r="E82" s="25"/>
      <c r="F82" s="35"/>
      <c r="G82" s="35"/>
      <c r="H82" s="24" t="s">
        <v>146</v>
      </c>
    </row>
    <row r="83" spans="1:8" x14ac:dyDescent="0.2">
      <c r="A83" s="25"/>
      <c r="B83" s="25"/>
      <c r="C83" s="26" t="s">
        <v>161</v>
      </c>
      <c r="D83" s="25"/>
      <c r="E83" s="25"/>
      <c r="F83" s="35"/>
      <c r="G83" s="35"/>
      <c r="H83" s="24" t="s">
        <v>146</v>
      </c>
    </row>
    <row r="84" spans="1:8" x14ac:dyDescent="0.2">
      <c r="A84" s="25"/>
      <c r="B84" s="25"/>
      <c r="C84" s="26" t="s">
        <v>145</v>
      </c>
      <c r="D84" s="25"/>
      <c r="E84" s="25" t="s">
        <v>146</v>
      </c>
      <c r="F84" s="36" t="s">
        <v>148</v>
      </c>
      <c r="G84" s="33">
        <v>0</v>
      </c>
      <c r="H84" s="24" t="s">
        <v>146</v>
      </c>
    </row>
    <row r="85" spans="1:8" x14ac:dyDescent="0.2">
      <c r="A85" s="25"/>
      <c r="B85" s="25"/>
      <c r="C85" s="34"/>
      <c r="D85" s="25"/>
      <c r="E85" s="25"/>
      <c r="F85" s="35"/>
      <c r="G85" s="35"/>
      <c r="H85" s="24" t="s">
        <v>146</v>
      </c>
    </row>
    <row r="86" spans="1:8" x14ac:dyDescent="0.2">
      <c r="A86" s="25"/>
      <c r="B86" s="25"/>
      <c r="C86" s="26" t="s">
        <v>162</v>
      </c>
      <c r="D86" s="25"/>
      <c r="E86" s="25"/>
      <c r="F86" s="35"/>
      <c r="G86" s="35"/>
      <c r="H86" s="24" t="s">
        <v>146</v>
      </c>
    </row>
    <row r="87" spans="1:8" x14ac:dyDescent="0.2">
      <c r="A87" s="25"/>
      <c r="B87" s="25"/>
      <c r="C87" s="26" t="s">
        <v>145</v>
      </c>
      <c r="D87" s="25"/>
      <c r="E87" s="25" t="s">
        <v>146</v>
      </c>
      <c r="F87" s="36" t="s">
        <v>148</v>
      </c>
      <c r="G87" s="33">
        <v>0</v>
      </c>
      <c r="H87" s="24" t="s">
        <v>146</v>
      </c>
    </row>
    <row r="88" spans="1:8" x14ac:dyDescent="0.2">
      <c r="A88" s="25"/>
      <c r="B88" s="25"/>
      <c r="C88" s="34"/>
      <c r="D88" s="25"/>
      <c r="E88" s="25"/>
      <c r="F88" s="35"/>
      <c r="G88" s="35"/>
      <c r="H88" s="24" t="s">
        <v>146</v>
      </c>
    </row>
    <row r="89" spans="1:8" x14ac:dyDescent="0.2">
      <c r="A89" s="25"/>
      <c r="B89" s="25"/>
      <c r="C89" s="26" t="s">
        <v>163</v>
      </c>
      <c r="D89" s="25"/>
      <c r="E89" s="25"/>
      <c r="F89" s="35"/>
      <c r="G89" s="35"/>
      <c r="H89" s="24" t="s">
        <v>146</v>
      </c>
    </row>
    <row r="90" spans="1:8" x14ac:dyDescent="0.2">
      <c r="A90" s="27">
        <v>1</v>
      </c>
      <c r="B90" s="28"/>
      <c r="C90" s="28" t="s">
        <v>164</v>
      </c>
      <c r="D90" s="28"/>
      <c r="E90" s="38"/>
      <c r="F90" s="30">
        <v>87.482518499999998</v>
      </c>
      <c r="G90" s="31">
        <v>4.0593749999999998E-2</v>
      </c>
      <c r="H90" s="24">
        <v>6.57</v>
      </c>
    </row>
    <row r="91" spans="1:8" x14ac:dyDescent="0.2">
      <c r="A91" s="25"/>
      <c r="B91" s="25"/>
      <c r="C91" s="26" t="s">
        <v>145</v>
      </c>
      <c r="D91" s="25"/>
      <c r="E91" s="25" t="s">
        <v>146</v>
      </c>
      <c r="F91" s="32">
        <v>87.482518499999998</v>
      </c>
      <c r="G91" s="33">
        <v>4.0593749999999998E-2</v>
      </c>
      <c r="H91" s="24" t="s">
        <v>146</v>
      </c>
    </row>
    <row r="92" spans="1:8" x14ac:dyDescent="0.2">
      <c r="A92" s="25"/>
      <c r="B92" s="25"/>
      <c r="C92" s="34"/>
      <c r="D92" s="25"/>
      <c r="E92" s="25"/>
      <c r="F92" s="35"/>
      <c r="G92" s="35"/>
      <c r="H92" s="24" t="s">
        <v>146</v>
      </c>
    </row>
    <row r="93" spans="1:8" x14ac:dyDescent="0.2">
      <c r="A93" s="25"/>
      <c r="B93" s="25"/>
      <c r="C93" s="26" t="s">
        <v>165</v>
      </c>
      <c r="D93" s="25"/>
      <c r="E93" s="25"/>
      <c r="F93" s="32">
        <v>87.482518499999998</v>
      </c>
      <c r="G93" s="33">
        <v>4.0593749999999998E-2</v>
      </c>
      <c r="H93" s="24" t="s">
        <v>146</v>
      </c>
    </row>
    <row r="94" spans="1:8" x14ac:dyDescent="0.2">
      <c r="A94" s="25"/>
      <c r="B94" s="25"/>
      <c r="C94" s="35"/>
      <c r="D94" s="25"/>
      <c r="E94" s="25"/>
      <c r="F94" s="25"/>
      <c r="G94" s="25"/>
      <c r="H94" s="24" t="s">
        <v>146</v>
      </c>
    </row>
    <row r="95" spans="1:8" x14ac:dyDescent="0.2">
      <c r="A95" s="25"/>
      <c r="B95" s="25"/>
      <c r="C95" s="26" t="s">
        <v>166</v>
      </c>
      <c r="D95" s="25"/>
      <c r="E95" s="25"/>
      <c r="F95" s="25"/>
      <c r="G95" s="25"/>
      <c r="H95" s="24" t="s">
        <v>146</v>
      </c>
    </row>
    <row r="96" spans="1:8" x14ac:dyDescent="0.2">
      <c r="A96" s="25"/>
      <c r="B96" s="25"/>
      <c r="C96" s="26" t="s">
        <v>167</v>
      </c>
      <c r="D96" s="25"/>
      <c r="E96" s="25"/>
      <c r="F96" s="25"/>
      <c r="G96" s="25"/>
      <c r="H96" s="24" t="s">
        <v>146</v>
      </c>
    </row>
    <row r="97" spans="1:17" x14ac:dyDescent="0.2">
      <c r="A97" s="25"/>
      <c r="B97" s="25"/>
      <c r="C97" s="26" t="s">
        <v>145</v>
      </c>
      <c r="D97" s="25"/>
      <c r="E97" s="25" t="s">
        <v>146</v>
      </c>
      <c r="F97" s="36" t="s">
        <v>148</v>
      </c>
      <c r="G97" s="33">
        <v>0</v>
      </c>
      <c r="H97" s="24" t="s">
        <v>146</v>
      </c>
    </row>
    <row r="98" spans="1:17" x14ac:dyDescent="0.2">
      <c r="A98" s="25"/>
      <c r="B98" s="25"/>
      <c r="C98" s="34"/>
      <c r="D98" s="25"/>
      <c r="E98" s="25"/>
      <c r="F98" s="35"/>
      <c r="G98" s="35"/>
      <c r="H98" s="24" t="s">
        <v>146</v>
      </c>
    </row>
    <row r="99" spans="1:17" x14ac:dyDescent="0.2">
      <c r="A99" s="25"/>
      <c r="B99" s="25"/>
      <c r="C99" s="26" t="s">
        <v>168</v>
      </c>
      <c r="D99" s="25"/>
      <c r="E99" s="25"/>
      <c r="F99" s="25"/>
      <c r="G99" s="25"/>
      <c r="H99" s="24" t="s">
        <v>146</v>
      </c>
    </row>
    <row r="100" spans="1:17" x14ac:dyDescent="0.2">
      <c r="A100" s="25"/>
      <c r="B100" s="25"/>
      <c r="C100" s="26" t="s">
        <v>169</v>
      </c>
      <c r="D100" s="25"/>
      <c r="E100" s="25"/>
      <c r="F100" s="25"/>
      <c r="G100" s="25"/>
      <c r="H100" s="24" t="s">
        <v>146</v>
      </c>
    </row>
    <row r="101" spans="1:17" x14ac:dyDescent="0.2">
      <c r="A101" s="25"/>
      <c r="B101" s="25"/>
      <c r="C101" s="26" t="s">
        <v>145</v>
      </c>
      <c r="D101" s="25"/>
      <c r="E101" s="25" t="s">
        <v>146</v>
      </c>
      <c r="F101" s="36" t="s">
        <v>148</v>
      </c>
      <c r="G101" s="33">
        <v>0</v>
      </c>
      <c r="H101" s="24" t="s">
        <v>146</v>
      </c>
    </row>
    <row r="102" spans="1:17" x14ac:dyDescent="0.2">
      <c r="A102" s="25"/>
      <c r="B102" s="25"/>
      <c r="C102" s="34"/>
      <c r="D102" s="25"/>
      <c r="E102" s="25"/>
      <c r="F102" s="35"/>
      <c r="G102" s="35"/>
      <c r="H102" s="24" t="s">
        <v>146</v>
      </c>
    </row>
    <row r="103" spans="1:17" x14ac:dyDescent="0.2">
      <c r="A103" s="25"/>
      <c r="B103" s="25"/>
      <c r="C103" s="26" t="s">
        <v>170</v>
      </c>
      <c r="D103" s="25"/>
      <c r="E103" s="25"/>
      <c r="F103" s="35"/>
      <c r="G103" s="35"/>
      <c r="H103" s="24" t="s">
        <v>146</v>
      </c>
    </row>
    <row r="104" spans="1:17" x14ac:dyDescent="0.2">
      <c r="A104" s="25"/>
      <c r="B104" s="25"/>
      <c r="C104" s="26" t="s">
        <v>145</v>
      </c>
      <c r="D104" s="25"/>
      <c r="E104" s="25" t="s">
        <v>146</v>
      </c>
      <c r="F104" s="36" t="s">
        <v>148</v>
      </c>
      <c r="G104" s="33">
        <v>0</v>
      </c>
      <c r="H104" s="24" t="s">
        <v>146</v>
      </c>
    </row>
    <row r="105" spans="1:17" x14ac:dyDescent="0.2">
      <c r="A105" s="25"/>
      <c r="B105" s="28"/>
      <c r="C105" s="28"/>
      <c r="D105" s="26"/>
      <c r="E105" s="25"/>
      <c r="F105" s="28"/>
      <c r="G105" s="38"/>
      <c r="H105" s="24" t="s">
        <v>146</v>
      </c>
    </row>
    <row r="106" spans="1:17" x14ac:dyDescent="0.2">
      <c r="A106" s="38"/>
      <c r="B106" s="28"/>
      <c r="C106" s="28" t="s">
        <v>171</v>
      </c>
      <c r="D106" s="28"/>
      <c r="E106" s="38"/>
      <c r="F106" s="30">
        <v>-0.31759393000000002</v>
      </c>
      <c r="G106" s="31">
        <v>-1.4736999999999999E-4</v>
      </c>
      <c r="H106" s="24" t="s">
        <v>146</v>
      </c>
    </row>
    <row r="107" spans="1:17" x14ac:dyDescent="0.2">
      <c r="A107" s="34"/>
      <c r="B107" s="34"/>
      <c r="C107" s="26" t="s">
        <v>172</v>
      </c>
      <c r="D107" s="35"/>
      <c r="E107" s="35"/>
      <c r="F107" s="32">
        <v>2155.0736283699998</v>
      </c>
      <c r="G107" s="39">
        <v>1.0000000200000001</v>
      </c>
      <c r="H107" s="24" t="s">
        <v>146</v>
      </c>
    </row>
    <row r="108" spans="1:17" x14ac:dyDescent="0.2">
      <c r="A108" s="40"/>
      <c r="B108" s="40"/>
      <c r="C108" s="40"/>
      <c r="D108" s="41"/>
      <c r="E108" s="41"/>
      <c r="F108" s="41"/>
      <c r="G108" s="41"/>
    </row>
    <row r="109" spans="1:17" x14ac:dyDescent="0.2">
      <c r="A109" s="42"/>
      <c r="B109" s="236" t="s">
        <v>858</v>
      </c>
      <c r="C109" s="236"/>
      <c r="D109" s="236"/>
      <c r="E109" s="236"/>
      <c r="F109" s="236"/>
      <c r="G109" s="236"/>
      <c r="H109" s="236"/>
      <c r="J109" s="44"/>
    </row>
    <row r="110" spans="1:17" x14ac:dyDescent="0.2">
      <c r="A110" s="42"/>
      <c r="B110" s="236" t="s">
        <v>859</v>
      </c>
      <c r="C110" s="236"/>
      <c r="D110" s="236"/>
      <c r="E110" s="236"/>
      <c r="F110" s="236"/>
      <c r="G110" s="236"/>
      <c r="H110" s="236"/>
      <c r="J110" s="44"/>
    </row>
    <row r="111" spans="1:17" x14ac:dyDescent="0.2">
      <c r="A111" s="42"/>
      <c r="B111" s="236" t="s">
        <v>860</v>
      </c>
      <c r="C111" s="236"/>
      <c r="D111" s="236"/>
      <c r="E111" s="236"/>
      <c r="F111" s="236"/>
      <c r="G111" s="236"/>
      <c r="H111" s="236"/>
      <c r="J111" s="44"/>
    </row>
    <row r="112" spans="1:17" s="46" customFormat="1" ht="66.75" customHeight="1" x14ac:dyDescent="0.25">
      <c r="A112" s="45"/>
      <c r="B112" s="237" t="s">
        <v>861</v>
      </c>
      <c r="C112" s="237"/>
      <c r="D112" s="237"/>
      <c r="E112" s="237"/>
      <c r="F112" s="237"/>
      <c r="G112" s="237"/>
      <c r="H112" s="237"/>
      <c r="I112"/>
      <c r="J112" s="44"/>
      <c r="K112"/>
      <c r="L112"/>
      <c r="M112"/>
      <c r="N112"/>
      <c r="O112"/>
      <c r="P112"/>
      <c r="Q112"/>
    </row>
    <row r="113" spans="1:10" x14ac:dyDescent="0.2">
      <c r="A113" s="42"/>
      <c r="B113" s="236" t="s">
        <v>862</v>
      </c>
      <c r="C113" s="236"/>
      <c r="D113" s="236"/>
      <c r="E113" s="236"/>
      <c r="F113" s="236"/>
      <c r="G113" s="236"/>
      <c r="H113" s="236"/>
      <c r="J113" s="44"/>
    </row>
    <row r="114" spans="1:10" x14ac:dyDescent="0.2">
      <c r="A114" s="47"/>
      <c r="B114" s="47"/>
      <c r="C114" s="47"/>
      <c r="D114" s="48"/>
      <c r="E114" s="48"/>
      <c r="F114" s="48"/>
      <c r="G114" s="48"/>
    </row>
    <row r="115" spans="1:10" x14ac:dyDescent="0.2">
      <c r="A115" s="47"/>
      <c r="B115" s="233" t="s">
        <v>173</v>
      </c>
      <c r="C115" s="234"/>
      <c r="D115" s="235"/>
      <c r="E115" s="49"/>
      <c r="F115" s="48"/>
      <c r="G115" s="48"/>
    </row>
    <row r="116" spans="1:10" ht="25.5" customHeight="1" x14ac:dyDescent="0.2">
      <c r="A116" s="47"/>
      <c r="B116" s="231" t="s">
        <v>174</v>
      </c>
      <c r="C116" s="232"/>
      <c r="D116" s="26" t="s">
        <v>175</v>
      </c>
      <c r="E116" s="49"/>
      <c r="F116" s="48"/>
      <c r="G116" s="48"/>
    </row>
    <row r="117" spans="1:10" ht="12.75" customHeight="1" x14ac:dyDescent="0.2">
      <c r="A117" s="42"/>
      <c r="B117" s="227" t="s">
        <v>863</v>
      </c>
      <c r="C117" s="228"/>
      <c r="D117" s="50" t="s">
        <v>175</v>
      </c>
      <c r="E117" s="51"/>
      <c r="F117" s="52"/>
      <c r="G117" s="52"/>
    </row>
    <row r="118" spans="1:10" x14ac:dyDescent="0.2">
      <c r="A118" s="47"/>
      <c r="B118" s="231" t="s">
        <v>176</v>
      </c>
      <c r="C118" s="232"/>
      <c r="D118" s="35" t="s">
        <v>146</v>
      </c>
      <c r="E118" s="49"/>
      <c r="F118" s="48"/>
      <c r="G118" s="48"/>
    </row>
    <row r="119" spans="1:10" x14ac:dyDescent="0.2">
      <c r="A119" s="53"/>
      <c r="B119" s="54" t="s">
        <v>146</v>
      </c>
      <c r="C119" s="54" t="s">
        <v>864</v>
      </c>
      <c r="D119" s="54" t="s">
        <v>177</v>
      </c>
      <c r="E119" s="53"/>
      <c r="F119" s="53"/>
      <c r="G119" s="53"/>
      <c r="H119" s="53"/>
      <c r="J119" s="44"/>
    </row>
    <row r="120" spans="1:10" x14ac:dyDescent="0.2">
      <c r="A120" s="53"/>
      <c r="B120" s="55" t="s">
        <v>178</v>
      </c>
      <c r="C120" s="56">
        <v>45657</v>
      </c>
      <c r="D120" s="56">
        <v>45688</v>
      </c>
      <c r="E120" s="53"/>
      <c r="F120" s="53"/>
      <c r="G120" s="53"/>
      <c r="J120" s="44"/>
    </row>
    <row r="121" spans="1:10" x14ac:dyDescent="0.2">
      <c r="A121" s="57"/>
      <c r="B121" s="28" t="s">
        <v>179</v>
      </c>
      <c r="C121" s="58">
        <v>32.6327</v>
      </c>
      <c r="D121" s="58">
        <v>31.000599999999999</v>
      </c>
      <c r="E121" s="57"/>
      <c r="F121" s="59"/>
      <c r="G121" s="60"/>
    </row>
    <row r="122" spans="1:10" x14ac:dyDescent="0.2">
      <c r="A122" s="57"/>
      <c r="B122" s="28" t="s">
        <v>1025</v>
      </c>
      <c r="C122" s="58">
        <v>29.982199999999999</v>
      </c>
      <c r="D122" s="58">
        <v>28.482600000000001</v>
      </c>
      <c r="E122" s="57"/>
      <c r="F122" s="59"/>
      <c r="G122" s="60"/>
    </row>
    <row r="123" spans="1:10" x14ac:dyDescent="0.2">
      <c r="A123" s="57"/>
      <c r="B123" s="28" t="s">
        <v>180</v>
      </c>
      <c r="C123" s="58">
        <v>32.033900000000003</v>
      </c>
      <c r="D123" s="58">
        <v>30.425999999999998</v>
      </c>
      <c r="E123" s="57"/>
      <c r="F123" s="59"/>
      <c r="G123" s="60"/>
    </row>
    <row r="124" spans="1:10" x14ac:dyDescent="0.2">
      <c r="A124" s="57"/>
      <c r="B124" s="28" t="s">
        <v>1026</v>
      </c>
      <c r="C124" s="58">
        <v>29.3962</v>
      </c>
      <c r="D124" s="58">
        <v>27.9207</v>
      </c>
      <c r="E124" s="57"/>
      <c r="F124" s="59"/>
      <c r="G124" s="60"/>
    </row>
    <row r="125" spans="1:10" x14ac:dyDescent="0.2">
      <c r="A125" s="57"/>
      <c r="B125" s="57"/>
      <c r="C125" s="57"/>
      <c r="D125" s="57"/>
      <c r="E125" s="57"/>
      <c r="F125" s="57"/>
      <c r="G125" s="57"/>
    </row>
    <row r="126" spans="1:10" x14ac:dyDescent="0.2">
      <c r="A126" s="53"/>
      <c r="B126" s="227" t="s">
        <v>865</v>
      </c>
      <c r="C126" s="228"/>
      <c r="D126" s="50" t="s">
        <v>175</v>
      </c>
      <c r="E126" s="53"/>
      <c r="F126" s="53"/>
      <c r="G126" s="53"/>
    </row>
    <row r="127" spans="1:10" x14ac:dyDescent="0.2">
      <c r="A127" s="53"/>
      <c r="B127" s="74"/>
      <c r="C127" s="74"/>
      <c r="D127" s="74"/>
      <c r="E127" s="53"/>
      <c r="F127" s="53"/>
      <c r="G127" s="53"/>
    </row>
    <row r="128" spans="1:10" x14ac:dyDescent="0.2">
      <c r="A128" s="53"/>
      <c r="B128" s="227" t="s">
        <v>181</v>
      </c>
      <c r="C128" s="228"/>
      <c r="D128" s="50" t="s">
        <v>175</v>
      </c>
      <c r="E128" s="74"/>
      <c r="F128" s="74"/>
      <c r="G128" s="74"/>
    </row>
    <row r="129" spans="1:10" x14ac:dyDescent="0.2">
      <c r="A129" s="53"/>
      <c r="B129" s="227" t="s">
        <v>182</v>
      </c>
      <c r="C129" s="228"/>
      <c r="D129" s="50" t="s">
        <v>175</v>
      </c>
      <c r="E129" s="53"/>
      <c r="F129" s="53"/>
      <c r="G129" s="53"/>
    </row>
    <row r="130" spans="1:10" ht="12.75" customHeight="1" x14ac:dyDescent="0.2">
      <c r="A130" s="53"/>
      <c r="B130" s="227" t="s">
        <v>183</v>
      </c>
      <c r="C130" s="228"/>
      <c r="D130" s="50" t="s">
        <v>175</v>
      </c>
      <c r="E130" s="64"/>
      <c r="F130" s="53"/>
      <c r="G130" s="53"/>
    </row>
    <row r="131" spans="1:10" ht="12.75" customHeight="1" x14ac:dyDescent="0.2">
      <c r="A131" s="53"/>
      <c r="B131" s="227" t="s">
        <v>184</v>
      </c>
      <c r="C131" s="228"/>
      <c r="D131" s="65">
        <v>0.25751534923004465</v>
      </c>
      <c r="E131" s="64"/>
      <c r="F131" s="53"/>
      <c r="G131" s="53"/>
    </row>
    <row r="134" spans="1:10" x14ac:dyDescent="0.2">
      <c r="B134" s="229" t="s">
        <v>866</v>
      </c>
      <c r="C134" s="229"/>
    </row>
    <row r="136" spans="1:10" ht="153.75" customHeight="1" x14ac:dyDescent="0.2"/>
    <row r="139" spans="1:10" x14ac:dyDescent="0.2">
      <c r="B139" s="66" t="s">
        <v>867</v>
      </c>
      <c r="C139" s="67"/>
      <c r="D139" s="66"/>
    </row>
    <row r="140" spans="1:10" x14ac:dyDescent="0.2">
      <c r="B140" s="66" t="s">
        <v>875</v>
      </c>
      <c r="D140" s="66"/>
    </row>
    <row r="141" spans="1:10" ht="165" customHeight="1" x14ac:dyDescent="0.2"/>
    <row r="143" spans="1:10" x14ac:dyDescent="0.2">
      <c r="J143" s="21"/>
    </row>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sheetData>
  <mergeCells count="18">
    <mergeCell ref="A1:H1"/>
    <mergeCell ref="A2:H2"/>
    <mergeCell ref="A3:H3"/>
    <mergeCell ref="B117:C117"/>
    <mergeCell ref="B118:C118"/>
    <mergeCell ref="B115:D115"/>
    <mergeCell ref="B116:C116"/>
    <mergeCell ref="B109:H109"/>
    <mergeCell ref="B110:H110"/>
    <mergeCell ref="B111:H111"/>
    <mergeCell ref="B112:H112"/>
    <mergeCell ref="B113:H113"/>
    <mergeCell ref="B128:C128"/>
    <mergeCell ref="B129:C129"/>
    <mergeCell ref="B134:C134"/>
    <mergeCell ref="B126:C126"/>
    <mergeCell ref="B130:C130"/>
    <mergeCell ref="B131:C131"/>
  </mergeCells>
  <hyperlinks>
    <hyperlink ref="I1" location="Index!B2" display="Index" xr:uid="{BC426FFE-FDF3-42F8-B2F7-4A64E89BFBD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E8F06-0D56-4EE1-8A14-4844351757F2}">
  <sheetPr>
    <outlinePr summaryBelow="0" summaryRight="0"/>
  </sheetPr>
  <dimension ref="A1:Q133"/>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432</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31</v>
      </c>
      <c r="C7" s="28" t="s">
        <v>32</v>
      </c>
      <c r="D7" s="28" t="s">
        <v>33</v>
      </c>
      <c r="E7" s="29">
        <v>14523</v>
      </c>
      <c r="F7" s="30">
        <v>181.94414399999999</v>
      </c>
      <c r="G7" s="31">
        <v>9.4883239999999994E-2</v>
      </c>
      <c r="H7" s="24" t="s">
        <v>146</v>
      </c>
    </row>
    <row r="8" spans="1:9" x14ac:dyDescent="0.2">
      <c r="A8" s="27">
        <v>2</v>
      </c>
      <c r="B8" s="28" t="s">
        <v>327</v>
      </c>
      <c r="C8" s="28" t="s">
        <v>328</v>
      </c>
      <c r="D8" s="28" t="s">
        <v>33</v>
      </c>
      <c r="E8" s="29">
        <v>10200</v>
      </c>
      <c r="F8" s="30">
        <v>173.27250000000001</v>
      </c>
      <c r="G8" s="31">
        <v>9.0361010000000005E-2</v>
      </c>
      <c r="H8" s="24" t="s">
        <v>146</v>
      </c>
    </row>
    <row r="9" spans="1:9" x14ac:dyDescent="0.2">
      <c r="A9" s="27">
        <v>3</v>
      </c>
      <c r="B9" s="28" t="s">
        <v>14</v>
      </c>
      <c r="C9" s="28" t="s">
        <v>15</v>
      </c>
      <c r="D9" s="28" t="s">
        <v>16</v>
      </c>
      <c r="E9" s="29">
        <v>11220</v>
      </c>
      <c r="F9" s="30">
        <v>141.94422</v>
      </c>
      <c r="G9" s="31">
        <v>7.4023420000000006E-2</v>
      </c>
      <c r="H9" s="24" t="s">
        <v>146</v>
      </c>
    </row>
    <row r="10" spans="1:9" x14ac:dyDescent="0.2">
      <c r="A10" s="27">
        <v>4</v>
      </c>
      <c r="B10" s="28" t="s">
        <v>329</v>
      </c>
      <c r="C10" s="28" t="s">
        <v>330</v>
      </c>
      <c r="D10" s="28" t="s">
        <v>195</v>
      </c>
      <c r="E10" s="29">
        <v>7290</v>
      </c>
      <c r="F10" s="30">
        <v>137.03742</v>
      </c>
      <c r="G10" s="31">
        <v>7.1464539999999993E-2</v>
      </c>
      <c r="H10" s="24" t="s">
        <v>146</v>
      </c>
    </row>
    <row r="11" spans="1:9" x14ac:dyDescent="0.2">
      <c r="A11" s="27">
        <v>5</v>
      </c>
      <c r="B11" s="28" t="s">
        <v>48</v>
      </c>
      <c r="C11" s="28" t="s">
        <v>49</v>
      </c>
      <c r="D11" s="28" t="s">
        <v>33</v>
      </c>
      <c r="E11" s="29">
        <v>14847</v>
      </c>
      <c r="F11" s="30">
        <v>114.75246300000001</v>
      </c>
      <c r="G11" s="31">
        <v>5.9843010000000002E-2</v>
      </c>
      <c r="H11" s="24" t="s">
        <v>146</v>
      </c>
    </row>
    <row r="12" spans="1:9" x14ac:dyDescent="0.2">
      <c r="A12" s="27">
        <v>6</v>
      </c>
      <c r="B12" s="28" t="s">
        <v>17</v>
      </c>
      <c r="C12" s="28" t="s">
        <v>18</v>
      </c>
      <c r="D12" s="28" t="s">
        <v>19</v>
      </c>
      <c r="E12" s="29">
        <v>6757</v>
      </c>
      <c r="F12" s="30">
        <v>109.88909099999999</v>
      </c>
      <c r="G12" s="31">
        <v>5.7306780000000002E-2</v>
      </c>
      <c r="H12" s="24" t="s">
        <v>146</v>
      </c>
    </row>
    <row r="13" spans="1:9" ht="25.5" x14ac:dyDescent="0.2">
      <c r="A13" s="27">
        <v>7</v>
      </c>
      <c r="B13" s="28" t="s">
        <v>23</v>
      </c>
      <c r="C13" s="28" t="s">
        <v>24</v>
      </c>
      <c r="D13" s="28" t="s">
        <v>25</v>
      </c>
      <c r="E13" s="29">
        <v>651</v>
      </c>
      <c r="F13" s="30">
        <v>74.783299499999998</v>
      </c>
      <c r="G13" s="31">
        <v>3.8999230000000003E-2</v>
      </c>
      <c r="H13" s="24" t="s">
        <v>146</v>
      </c>
    </row>
    <row r="14" spans="1:9" x14ac:dyDescent="0.2">
      <c r="A14" s="27">
        <v>8</v>
      </c>
      <c r="B14" s="28" t="s">
        <v>11</v>
      </c>
      <c r="C14" s="28" t="s">
        <v>12</v>
      </c>
      <c r="D14" s="28" t="s">
        <v>13</v>
      </c>
      <c r="E14" s="29">
        <v>1893</v>
      </c>
      <c r="F14" s="30">
        <v>67.530882000000005</v>
      </c>
      <c r="G14" s="31">
        <v>3.5217119999999998E-2</v>
      </c>
      <c r="H14" s="24" t="s">
        <v>146</v>
      </c>
    </row>
    <row r="15" spans="1:9" x14ac:dyDescent="0.2">
      <c r="A15" s="27">
        <v>9</v>
      </c>
      <c r="B15" s="28" t="s">
        <v>339</v>
      </c>
      <c r="C15" s="28" t="s">
        <v>340</v>
      </c>
      <c r="D15" s="28" t="s">
        <v>33</v>
      </c>
      <c r="E15" s="29">
        <v>6081</v>
      </c>
      <c r="F15" s="30">
        <v>59.964740999999997</v>
      </c>
      <c r="G15" s="31">
        <v>3.1271399999999998E-2</v>
      </c>
      <c r="H15" s="24" t="s">
        <v>146</v>
      </c>
    </row>
    <row r="16" spans="1:9" ht="25.5" x14ac:dyDescent="0.2">
      <c r="A16" s="27">
        <v>10</v>
      </c>
      <c r="B16" s="28" t="s">
        <v>188</v>
      </c>
      <c r="C16" s="28" t="s">
        <v>189</v>
      </c>
      <c r="D16" s="28" t="s">
        <v>190</v>
      </c>
      <c r="E16" s="29">
        <v>2966</v>
      </c>
      <c r="F16" s="30">
        <v>53.671253</v>
      </c>
      <c r="G16" s="31">
        <v>2.798937E-2</v>
      </c>
      <c r="H16" s="24" t="s">
        <v>146</v>
      </c>
    </row>
    <row r="17" spans="1:8" x14ac:dyDescent="0.2">
      <c r="A17" s="27">
        <v>11</v>
      </c>
      <c r="B17" s="28" t="s">
        <v>357</v>
      </c>
      <c r="C17" s="28" t="s">
        <v>358</v>
      </c>
      <c r="D17" s="28" t="s">
        <v>275</v>
      </c>
      <c r="E17" s="29">
        <v>6930</v>
      </c>
      <c r="F17" s="30">
        <v>49.625729999999997</v>
      </c>
      <c r="G17" s="31">
        <v>2.5879650000000001E-2</v>
      </c>
      <c r="H17" s="24" t="s">
        <v>146</v>
      </c>
    </row>
    <row r="18" spans="1:8" x14ac:dyDescent="0.2">
      <c r="A18" s="27">
        <v>12</v>
      </c>
      <c r="B18" s="28" t="s">
        <v>137</v>
      </c>
      <c r="C18" s="28" t="s">
        <v>138</v>
      </c>
      <c r="D18" s="28" t="s">
        <v>139</v>
      </c>
      <c r="E18" s="29">
        <v>6000</v>
      </c>
      <c r="F18" s="30">
        <v>47.493000000000002</v>
      </c>
      <c r="G18" s="31">
        <v>2.4767440000000002E-2</v>
      </c>
      <c r="H18" s="24" t="s">
        <v>146</v>
      </c>
    </row>
    <row r="19" spans="1:8" x14ac:dyDescent="0.2">
      <c r="A19" s="27">
        <v>13</v>
      </c>
      <c r="B19" s="28" t="s">
        <v>433</v>
      </c>
      <c r="C19" s="28" t="s">
        <v>434</v>
      </c>
      <c r="D19" s="28" t="s">
        <v>280</v>
      </c>
      <c r="E19" s="29">
        <v>3200</v>
      </c>
      <c r="F19" s="30">
        <v>47.475200000000001</v>
      </c>
      <c r="G19" s="31">
        <v>2.475815E-2</v>
      </c>
      <c r="H19" s="24" t="s">
        <v>146</v>
      </c>
    </row>
    <row r="20" spans="1:8" ht="25.5" x14ac:dyDescent="0.2">
      <c r="A20" s="27">
        <v>14</v>
      </c>
      <c r="B20" s="28" t="s">
        <v>337</v>
      </c>
      <c r="C20" s="28" t="s">
        <v>338</v>
      </c>
      <c r="D20" s="28" t="s">
        <v>198</v>
      </c>
      <c r="E20" s="29">
        <v>2650</v>
      </c>
      <c r="F20" s="30">
        <v>46.214675</v>
      </c>
      <c r="G20" s="31">
        <v>2.410079E-2</v>
      </c>
      <c r="H20" s="24" t="s">
        <v>146</v>
      </c>
    </row>
    <row r="21" spans="1:8" x14ac:dyDescent="0.2">
      <c r="A21" s="27">
        <v>15</v>
      </c>
      <c r="B21" s="28" t="s">
        <v>347</v>
      </c>
      <c r="C21" s="28" t="s">
        <v>348</v>
      </c>
      <c r="D21" s="28" t="s">
        <v>349</v>
      </c>
      <c r="E21" s="29">
        <v>10141</v>
      </c>
      <c r="F21" s="30">
        <v>45.380974999999999</v>
      </c>
      <c r="G21" s="31">
        <v>2.3666019999999999E-2</v>
      </c>
      <c r="H21" s="24" t="s">
        <v>146</v>
      </c>
    </row>
    <row r="22" spans="1:8" x14ac:dyDescent="0.2">
      <c r="A22" s="27">
        <v>16</v>
      </c>
      <c r="B22" s="28" t="s">
        <v>435</v>
      </c>
      <c r="C22" s="28" t="s">
        <v>436</v>
      </c>
      <c r="D22" s="28" t="s">
        <v>195</v>
      </c>
      <c r="E22" s="29">
        <v>2560</v>
      </c>
      <c r="F22" s="30">
        <v>44.171520000000001</v>
      </c>
      <c r="G22" s="31">
        <v>2.303529E-2</v>
      </c>
      <c r="H22" s="24" t="s">
        <v>146</v>
      </c>
    </row>
    <row r="23" spans="1:8" x14ac:dyDescent="0.2">
      <c r="A23" s="27">
        <v>17</v>
      </c>
      <c r="B23" s="28" t="s">
        <v>335</v>
      </c>
      <c r="C23" s="28" t="s">
        <v>336</v>
      </c>
      <c r="D23" s="28" t="s">
        <v>195</v>
      </c>
      <c r="E23" s="29">
        <v>937</v>
      </c>
      <c r="F23" s="30">
        <v>38.533188000000003</v>
      </c>
      <c r="G23" s="31">
        <v>2.0094919999999999E-2</v>
      </c>
      <c r="H23" s="24" t="s">
        <v>146</v>
      </c>
    </row>
    <row r="24" spans="1:8" x14ac:dyDescent="0.2">
      <c r="A24" s="27">
        <v>18</v>
      </c>
      <c r="B24" s="28" t="s">
        <v>341</v>
      </c>
      <c r="C24" s="28" t="s">
        <v>342</v>
      </c>
      <c r="D24" s="28" t="s">
        <v>33</v>
      </c>
      <c r="E24" s="29">
        <v>17989</v>
      </c>
      <c r="F24" s="30">
        <v>38.386727100000002</v>
      </c>
      <c r="G24" s="31">
        <v>2.001855E-2</v>
      </c>
      <c r="H24" s="24" t="s">
        <v>146</v>
      </c>
    </row>
    <row r="25" spans="1:8" x14ac:dyDescent="0.2">
      <c r="A25" s="27">
        <v>19</v>
      </c>
      <c r="B25" s="28" t="s">
        <v>114</v>
      </c>
      <c r="C25" s="28" t="s">
        <v>115</v>
      </c>
      <c r="D25" s="28" t="s">
        <v>83</v>
      </c>
      <c r="E25" s="29">
        <v>963</v>
      </c>
      <c r="F25" s="30">
        <v>32.990454</v>
      </c>
      <c r="G25" s="31">
        <v>1.720441E-2</v>
      </c>
      <c r="H25" s="24" t="s">
        <v>146</v>
      </c>
    </row>
    <row r="26" spans="1:8" ht="25.5" x14ac:dyDescent="0.2">
      <c r="A26" s="27">
        <v>20</v>
      </c>
      <c r="B26" s="28" t="s">
        <v>301</v>
      </c>
      <c r="C26" s="28" t="s">
        <v>302</v>
      </c>
      <c r="D26" s="28" t="s">
        <v>258</v>
      </c>
      <c r="E26" s="29">
        <v>750</v>
      </c>
      <c r="F26" s="30">
        <v>31.11525</v>
      </c>
      <c r="G26" s="31">
        <v>1.6226500000000001E-2</v>
      </c>
      <c r="H26" s="24" t="s">
        <v>146</v>
      </c>
    </row>
    <row r="27" spans="1:8" x14ac:dyDescent="0.2">
      <c r="A27" s="27">
        <v>21</v>
      </c>
      <c r="B27" s="28" t="s">
        <v>43</v>
      </c>
      <c r="C27" s="28" t="s">
        <v>44</v>
      </c>
      <c r="D27" s="28" t="s">
        <v>16</v>
      </c>
      <c r="E27" s="29">
        <v>11824</v>
      </c>
      <c r="F27" s="30">
        <v>30.872464000000001</v>
      </c>
      <c r="G27" s="31">
        <v>1.609988E-2</v>
      </c>
      <c r="H27" s="24" t="s">
        <v>146</v>
      </c>
    </row>
    <row r="28" spans="1:8" x14ac:dyDescent="0.2">
      <c r="A28" s="27">
        <v>22</v>
      </c>
      <c r="B28" s="28" t="s">
        <v>363</v>
      </c>
      <c r="C28" s="28" t="s">
        <v>364</v>
      </c>
      <c r="D28" s="28" t="s">
        <v>39</v>
      </c>
      <c r="E28" s="29">
        <v>876</v>
      </c>
      <c r="F28" s="30">
        <v>30.574590000000001</v>
      </c>
      <c r="G28" s="31">
        <v>1.594454E-2</v>
      </c>
      <c r="H28" s="24" t="s">
        <v>146</v>
      </c>
    </row>
    <row r="29" spans="1:8" ht="25.5" x14ac:dyDescent="0.2">
      <c r="A29" s="27">
        <v>23</v>
      </c>
      <c r="B29" s="28" t="s">
        <v>437</v>
      </c>
      <c r="C29" s="28" t="s">
        <v>438</v>
      </c>
      <c r="D29" s="28" t="s">
        <v>198</v>
      </c>
      <c r="E29" s="29">
        <v>1814</v>
      </c>
      <c r="F29" s="30">
        <v>26.836316</v>
      </c>
      <c r="G29" s="31">
        <v>1.399505E-2</v>
      </c>
      <c r="H29" s="24" t="s">
        <v>146</v>
      </c>
    </row>
    <row r="30" spans="1:8" ht="25.5" x14ac:dyDescent="0.2">
      <c r="A30" s="27">
        <v>24</v>
      </c>
      <c r="B30" s="28" t="s">
        <v>439</v>
      </c>
      <c r="C30" s="28" t="s">
        <v>440</v>
      </c>
      <c r="D30" s="28" t="s">
        <v>25</v>
      </c>
      <c r="E30" s="29">
        <v>1871</v>
      </c>
      <c r="F30" s="30">
        <v>21.843924999999999</v>
      </c>
      <c r="G30" s="31">
        <v>1.139153E-2</v>
      </c>
      <c r="H30" s="24" t="s">
        <v>146</v>
      </c>
    </row>
    <row r="31" spans="1:8" x14ac:dyDescent="0.2">
      <c r="A31" s="27">
        <v>25</v>
      </c>
      <c r="B31" s="28" t="s">
        <v>441</v>
      </c>
      <c r="C31" s="28" t="s">
        <v>442</v>
      </c>
      <c r="D31" s="28" t="s">
        <v>349</v>
      </c>
      <c r="E31" s="29">
        <v>788</v>
      </c>
      <c r="F31" s="30">
        <v>19.454143999999999</v>
      </c>
      <c r="G31" s="31">
        <v>1.014527E-2</v>
      </c>
      <c r="H31" s="24" t="s">
        <v>146</v>
      </c>
    </row>
    <row r="32" spans="1:8" ht="25.5" x14ac:dyDescent="0.2">
      <c r="A32" s="27">
        <v>26</v>
      </c>
      <c r="B32" s="28" t="s">
        <v>443</v>
      </c>
      <c r="C32" s="28" t="s">
        <v>444</v>
      </c>
      <c r="D32" s="28" t="s">
        <v>218</v>
      </c>
      <c r="E32" s="29">
        <v>1824</v>
      </c>
      <c r="F32" s="30">
        <v>18.689616000000001</v>
      </c>
      <c r="G32" s="31">
        <v>9.7465699999999995E-3</v>
      </c>
      <c r="H32" s="24" t="s">
        <v>146</v>
      </c>
    </row>
    <row r="33" spans="1:8" x14ac:dyDescent="0.2">
      <c r="A33" s="27">
        <v>27</v>
      </c>
      <c r="B33" s="28" t="s">
        <v>445</v>
      </c>
      <c r="C33" s="28" t="s">
        <v>446</v>
      </c>
      <c r="D33" s="28" t="s">
        <v>447</v>
      </c>
      <c r="E33" s="29">
        <v>2289</v>
      </c>
      <c r="F33" s="30">
        <v>13.603527</v>
      </c>
      <c r="G33" s="31">
        <v>7.0941900000000002E-3</v>
      </c>
      <c r="H33" s="24" t="s">
        <v>146</v>
      </c>
    </row>
    <row r="34" spans="1:8" x14ac:dyDescent="0.2">
      <c r="A34" s="27">
        <v>28</v>
      </c>
      <c r="B34" s="28" t="s">
        <v>448</v>
      </c>
      <c r="C34" s="28" t="s">
        <v>449</v>
      </c>
      <c r="D34" s="28" t="s">
        <v>33</v>
      </c>
      <c r="E34" s="29">
        <v>1250</v>
      </c>
      <c r="F34" s="30">
        <v>12.39</v>
      </c>
      <c r="G34" s="31">
        <v>6.4613400000000003E-3</v>
      </c>
      <c r="H34" s="24" t="s">
        <v>146</v>
      </c>
    </row>
    <row r="35" spans="1:8" x14ac:dyDescent="0.2">
      <c r="A35" s="27">
        <v>29</v>
      </c>
      <c r="B35" s="28" t="s">
        <v>129</v>
      </c>
      <c r="C35" s="28" t="s">
        <v>130</v>
      </c>
      <c r="D35" s="28" t="s">
        <v>80</v>
      </c>
      <c r="E35" s="29">
        <v>1237</v>
      </c>
      <c r="F35" s="30">
        <v>9.6498369999999998</v>
      </c>
      <c r="G35" s="31">
        <v>5.0323599999999996E-3</v>
      </c>
      <c r="H35" s="24" t="s">
        <v>146</v>
      </c>
    </row>
    <row r="36" spans="1:8" x14ac:dyDescent="0.2">
      <c r="A36" s="25"/>
      <c r="B36" s="25"/>
      <c r="C36" s="26" t="s">
        <v>145</v>
      </c>
      <c r="D36" s="25"/>
      <c r="E36" s="25" t="s">
        <v>146</v>
      </c>
      <c r="F36" s="32">
        <v>1720.0911516000001</v>
      </c>
      <c r="G36" s="33">
        <v>0.89702157000000005</v>
      </c>
      <c r="H36" s="24" t="s">
        <v>146</v>
      </c>
    </row>
    <row r="37" spans="1:8" x14ac:dyDescent="0.2">
      <c r="A37" s="25"/>
      <c r="B37" s="25"/>
      <c r="C37" s="34"/>
      <c r="D37" s="25"/>
      <c r="E37" s="25"/>
      <c r="F37" s="35"/>
      <c r="G37" s="35"/>
      <c r="H37" s="24" t="s">
        <v>146</v>
      </c>
    </row>
    <row r="38" spans="1:8" x14ac:dyDescent="0.2">
      <c r="A38" s="25"/>
      <c r="B38" s="25"/>
      <c r="C38" s="26" t="s">
        <v>147</v>
      </c>
      <c r="D38" s="25"/>
      <c r="E38" s="25"/>
      <c r="F38" s="25"/>
      <c r="G38" s="25"/>
      <c r="H38" s="24" t="s">
        <v>146</v>
      </c>
    </row>
    <row r="39" spans="1:8" x14ac:dyDescent="0.2">
      <c r="A39" s="25"/>
      <c r="B39" s="25"/>
      <c r="C39" s="26" t="s">
        <v>145</v>
      </c>
      <c r="D39" s="25"/>
      <c r="E39" s="25" t="s">
        <v>146</v>
      </c>
      <c r="F39" s="36" t="s">
        <v>148</v>
      </c>
      <c r="G39" s="33">
        <v>0</v>
      </c>
      <c r="H39" s="24" t="s">
        <v>146</v>
      </c>
    </row>
    <row r="40" spans="1:8" x14ac:dyDescent="0.2">
      <c r="A40" s="25"/>
      <c r="B40" s="25"/>
      <c r="C40" s="34"/>
      <c r="D40" s="25"/>
      <c r="E40" s="25"/>
      <c r="F40" s="35"/>
      <c r="G40" s="35"/>
      <c r="H40" s="24" t="s">
        <v>146</v>
      </c>
    </row>
    <row r="41" spans="1:8" x14ac:dyDescent="0.2">
      <c r="A41" s="25"/>
      <c r="B41" s="25"/>
      <c r="C41" s="26" t="s">
        <v>149</v>
      </c>
      <c r="D41" s="25"/>
      <c r="E41" s="25"/>
      <c r="F41" s="25"/>
      <c r="G41" s="25"/>
      <c r="H41" s="24" t="s">
        <v>146</v>
      </c>
    </row>
    <row r="42" spans="1:8" x14ac:dyDescent="0.2">
      <c r="A42" s="25"/>
      <c r="B42" s="25"/>
      <c r="C42" s="26" t="s">
        <v>145</v>
      </c>
      <c r="D42" s="25"/>
      <c r="E42" s="25" t="s">
        <v>146</v>
      </c>
      <c r="F42" s="36" t="s">
        <v>148</v>
      </c>
      <c r="G42" s="33">
        <v>0</v>
      </c>
      <c r="H42" s="24" t="s">
        <v>146</v>
      </c>
    </row>
    <row r="43" spans="1:8" x14ac:dyDescent="0.2">
      <c r="A43" s="25"/>
      <c r="B43" s="25"/>
      <c r="C43" s="34"/>
      <c r="D43" s="25"/>
      <c r="E43" s="25"/>
      <c r="F43" s="35"/>
      <c r="G43" s="35"/>
      <c r="H43" s="24" t="s">
        <v>146</v>
      </c>
    </row>
    <row r="44" spans="1:8" x14ac:dyDescent="0.2">
      <c r="A44" s="25"/>
      <c r="B44" s="25"/>
      <c r="C44" s="26" t="s">
        <v>150</v>
      </c>
      <c r="D44" s="25"/>
      <c r="E44" s="25"/>
      <c r="F44" s="25"/>
      <c r="G44" s="25"/>
      <c r="H44" s="24" t="s">
        <v>146</v>
      </c>
    </row>
    <row r="45" spans="1:8" x14ac:dyDescent="0.2">
      <c r="A45" s="25"/>
      <c r="B45" s="25"/>
      <c r="C45" s="26" t="s">
        <v>145</v>
      </c>
      <c r="D45" s="25"/>
      <c r="E45" s="25" t="s">
        <v>146</v>
      </c>
      <c r="F45" s="36" t="s">
        <v>148</v>
      </c>
      <c r="G45" s="33">
        <v>0</v>
      </c>
      <c r="H45" s="24" t="s">
        <v>146</v>
      </c>
    </row>
    <row r="46" spans="1:8" x14ac:dyDescent="0.2">
      <c r="A46" s="25"/>
      <c r="B46" s="25"/>
      <c r="C46" s="34"/>
      <c r="D46" s="25"/>
      <c r="E46" s="25"/>
      <c r="F46" s="35"/>
      <c r="G46" s="35"/>
      <c r="H46" s="24" t="s">
        <v>146</v>
      </c>
    </row>
    <row r="47" spans="1:8" x14ac:dyDescent="0.2">
      <c r="A47" s="25"/>
      <c r="B47" s="25"/>
      <c r="C47" s="26" t="s">
        <v>151</v>
      </c>
      <c r="D47" s="25"/>
      <c r="E47" s="25"/>
      <c r="F47" s="35"/>
      <c r="G47" s="35"/>
      <c r="H47" s="24" t="s">
        <v>146</v>
      </c>
    </row>
    <row r="48" spans="1:8" x14ac:dyDescent="0.2">
      <c r="A48" s="25"/>
      <c r="B48" s="25"/>
      <c r="C48" s="26" t="s">
        <v>145</v>
      </c>
      <c r="D48" s="25"/>
      <c r="E48" s="25" t="s">
        <v>146</v>
      </c>
      <c r="F48" s="36" t="s">
        <v>148</v>
      </c>
      <c r="G48" s="33">
        <v>0</v>
      </c>
      <c r="H48" s="24" t="s">
        <v>146</v>
      </c>
    </row>
    <row r="49" spans="1:8" x14ac:dyDescent="0.2">
      <c r="A49" s="25"/>
      <c r="B49" s="25"/>
      <c r="C49" s="34"/>
      <c r="D49" s="25"/>
      <c r="E49" s="25"/>
      <c r="F49" s="35"/>
      <c r="G49" s="35"/>
      <c r="H49" s="24" t="s">
        <v>146</v>
      </c>
    </row>
    <row r="50" spans="1:8" x14ac:dyDescent="0.2">
      <c r="A50" s="25"/>
      <c r="B50" s="25"/>
      <c r="C50" s="26" t="s">
        <v>152</v>
      </c>
      <c r="D50" s="25"/>
      <c r="E50" s="25"/>
      <c r="F50" s="35"/>
      <c r="G50" s="35"/>
      <c r="H50" s="24" t="s">
        <v>146</v>
      </c>
    </row>
    <row r="51" spans="1:8" x14ac:dyDescent="0.2">
      <c r="A51" s="25"/>
      <c r="B51" s="25"/>
      <c r="C51" s="26" t="s">
        <v>145</v>
      </c>
      <c r="D51" s="25"/>
      <c r="E51" s="25" t="s">
        <v>146</v>
      </c>
      <c r="F51" s="36" t="s">
        <v>148</v>
      </c>
      <c r="G51" s="33">
        <v>0</v>
      </c>
      <c r="H51" s="24" t="s">
        <v>146</v>
      </c>
    </row>
    <row r="52" spans="1:8" x14ac:dyDescent="0.2">
      <c r="A52" s="25"/>
      <c r="B52" s="25"/>
      <c r="C52" s="34"/>
      <c r="D52" s="25"/>
      <c r="E52" s="25"/>
      <c r="F52" s="35"/>
      <c r="G52" s="35"/>
      <c r="H52" s="24" t="s">
        <v>146</v>
      </c>
    </row>
    <row r="53" spans="1:8" x14ac:dyDescent="0.2">
      <c r="A53" s="25"/>
      <c r="B53" s="25"/>
      <c r="C53" s="26" t="s">
        <v>153</v>
      </c>
      <c r="D53" s="25"/>
      <c r="E53" s="25"/>
      <c r="F53" s="32">
        <v>1720.0911516000001</v>
      </c>
      <c r="G53" s="33">
        <v>0.89702157000000005</v>
      </c>
      <c r="H53" s="24" t="s">
        <v>146</v>
      </c>
    </row>
    <row r="54" spans="1:8" x14ac:dyDescent="0.2">
      <c r="A54" s="25"/>
      <c r="B54" s="25"/>
      <c r="C54" s="34"/>
      <c r="D54" s="25"/>
      <c r="E54" s="25"/>
      <c r="F54" s="35"/>
      <c r="G54" s="35"/>
      <c r="H54" s="24" t="s">
        <v>146</v>
      </c>
    </row>
    <row r="55" spans="1:8" x14ac:dyDescent="0.2">
      <c r="A55" s="25"/>
      <c r="B55" s="25"/>
      <c r="C55" s="26" t="s">
        <v>154</v>
      </c>
      <c r="D55" s="25"/>
      <c r="E55" s="25"/>
      <c r="F55" s="35"/>
      <c r="G55" s="35"/>
      <c r="H55" s="24" t="s">
        <v>146</v>
      </c>
    </row>
    <row r="56" spans="1:8" x14ac:dyDescent="0.2">
      <c r="A56" s="25"/>
      <c r="B56" s="25"/>
      <c r="C56" s="26" t="s">
        <v>10</v>
      </c>
      <c r="D56" s="25"/>
      <c r="E56" s="25"/>
      <c r="F56" s="35"/>
      <c r="G56" s="35"/>
      <c r="H56" s="24" t="s">
        <v>146</v>
      </c>
    </row>
    <row r="57" spans="1:8" x14ac:dyDescent="0.2">
      <c r="A57" s="25"/>
      <c r="B57" s="25"/>
      <c r="C57" s="26" t="s">
        <v>145</v>
      </c>
      <c r="D57" s="25"/>
      <c r="E57" s="25" t="s">
        <v>146</v>
      </c>
      <c r="F57" s="36" t="s">
        <v>148</v>
      </c>
      <c r="G57" s="33">
        <v>0</v>
      </c>
      <c r="H57" s="24" t="s">
        <v>146</v>
      </c>
    </row>
    <row r="58" spans="1:8" x14ac:dyDescent="0.2">
      <c r="A58" s="25"/>
      <c r="B58" s="25"/>
      <c r="C58" s="34"/>
      <c r="D58" s="25"/>
      <c r="E58" s="25"/>
      <c r="F58" s="35"/>
      <c r="G58" s="35"/>
      <c r="H58" s="24" t="s">
        <v>146</v>
      </c>
    </row>
    <row r="59" spans="1:8" x14ac:dyDescent="0.2">
      <c r="A59" s="25"/>
      <c r="B59" s="25"/>
      <c r="C59" s="26" t="s">
        <v>155</v>
      </c>
      <c r="D59" s="25"/>
      <c r="E59" s="25"/>
      <c r="F59" s="25"/>
      <c r="G59" s="25"/>
      <c r="H59" s="24" t="s">
        <v>146</v>
      </c>
    </row>
    <row r="60" spans="1:8" x14ac:dyDescent="0.2">
      <c r="A60" s="25"/>
      <c r="B60" s="25"/>
      <c r="C60" s="26" t="s">
        <v>145</v>
      </c>
      <c r="D60" s="25"/>
      <c r="E60" s="25" t="s">
        <v>146</v>
      </c>
      <c r="F60" s="36" t="s">
        <v>148</v>
      </c>
      <c r="G60" s="33">
        <v>0</v>
      </c>
      <c r="H60" s="24" t="s">
        <v>146</v>
      </c>
    </row>
    <row r="61" spans="1:8" x14ac:dyDescent="0.2">
      <c r="A61" s="25"/>
      <c r="B61" s="25"/>
      <c r="C61" s="34"/>
      <c r="D61" s="25"/>
      <c r="E61" s="25"/>
      <c r="F61" s="35"/>
      <c r="G61" s="35"/>
      <c r="H61" s="24" t="s">
        <v>146</v>
      </c>
    </row>
    <row r="62" spans="1:8" x14ac:dyDescent="0.2">
      <c r="A62" s="25"/>
      <c r="B62" s="25"/>
      <c r="C62" s="26" t="s">
        <v>156</v>
      </c>
      <c r="D62" s="25"/>
      <c r="E62" s="25"/>
      <c r="F62" s="25"/>
      <c r="G62" s="25"/>
      <c r="H62" s="24" t="s">
        <v>146</v>
      </c>
    </row>
    <row r="63" spans="1:8" x14ac:dyDescent="0.2">
      <c r="A63" s="25"/>
      <c r="B63" s="25"/>
      <c r="C63" s="26" t="s">
        <v>145</v>
      </c>
      <c r="D63" s="25"/>
      <c r="E63" s="25" t="s">
        <v>146</v>
      </c>
      <c r="F63" s="36" t="s">
        <v>148</v>
      </c>
      <c r="G63" s="33">
        <v>0</v>
      </c>
      <c r="H63" s="24" t="s">
        <v>146</v>
      </c>
    </row>
    <row r="64" spans="1:8" x14ac:dyDescent="0.2">
      <c r="A64" s="25"/>
      <c r="B64" s="25"/>
      <c r="C64" s="34"/>
      <c r="D64" s="25"/>
      <c r="E64" s="25"/>
      <c r="F64" s="35"/>
      <c r="G64" s="35"/>
      <c r="H64" s="24" t="s">
        <v>146</v>
      </c>
    </row>
    <row r="65" spans="1:8" x14ac:dyDescent="0.2">
      <c r="A65" s="25"/>
      <c r="B65" s="25"/>
      <c r="C65" s="26" t="s">
        <v>157</v>
      </c>
      <c r="D65" s="25"/>
      <c r="E65" s="25"/>
      <c r="F65" s="35"/>
      <c r="G65" s="35"/>
      <c r="H65" s="24" t="s">
        <v>146</v>
      </c>
    </row>
    <row r="66" spans="1:8" x14ac:dyDescent="0.2">
      <c r="A66" s="25"/>
      <c r="B66" s="25"/>
      <c r="C66" s="26" t="s">
        <v>145</v>
      </c>
      <c r="D66" s="25"/>
      <c r="E66" s="25" t="s">
        <v>146</v>
      </c>
      <c r="F66" s="36" t="s">
        <v>148</v>
      </c>
      <c r="G66" s="33">
        <v>0</v>
      </c>
      <c r="H66" s="24" t="s">
        <v>146</v>
      </c>
    </row>
    <row r="67" spans="1:8" x14ac:dyDescent="0.2">
      <c r="A67" s="25"/>
      <c r="B67" s="25"/>
      <c r="C67" s="34"/>
      <c r="D67" s="25"/>
      <c r="E67" s="25"/>
      <c r="F67" s="35"/>
      <c r="G67" s="35"/>
      <c r="H67" s="24" t="s">
        <v>146</v>
      </c>
    </row>
    <row r="68" spans="1:8" x14ac:dyDescent="0.2">
      <c r="A68" s="25"/>
      <c r="B68" s="25"/>
      <c r="C68" s="26" t="s">
        <v>158</v>
      </c>
      <c r="D68" s="25"/>
      <c r="E68" s="25"/>
      <c r="F68" s="32">
        <v>0</v>
      </c>
      <c r="G68" s="33">
        <v>0</v>
      </c>
      <c r="H68" s="24" t="s">
        <v>146</v>
      </c>
    </row>
    <row r="69" spans="1:8" x14ac:dyDescent="0.2">
      <c r="A69" s="25"/>
      <c r="B69" s="25"/>
      <c r="C69" s="34"/>
      <c r="D69" s="25"/>
      <c r="E69" s="25"/>
      <c r="F69" s="35"/>
      <c r="G69" s="35"/>
      <c r="H69" s="24" t="s">
        <v>146</v>
      </c>
    </row>
    <row r="70" spans="1:8" x14ac:dyDescent="0.2">
      <c r="A70" s="25"/>
      <c r="B70" s="25"/>
      <c r="C70" s="26" t="s">
        <v>159</v>
      </c>
      <c r="D70" s="25"/>
      <c r="E70" s="25"/>
      <c r="F70" s="35"/>
      <c r="G70" s="35"/>
      <c r="H70" s="24" t="s">
        <v>146</v>
      </c>
    </row>
    <row r="71" spans="1:8" x14ac:dyDescent="0.2">
      <c r="A71" s="25"/>
      <c r="B71" s="25"/>
      <c r="C71" s="26" t="s">
        <v>160</v>
      </c>
      <c r="D71" s="25"/>
      <c r="E71" s="25"/>
      <c r="F71" s="35"/>
      <c r="G71" s="35"/>
      <c r="H71" s="24" t="s">
        <v>146</v>
      </c>
    </row>
    <row r="72" spans="1:8" x14ac:dyDescent="0.2">
      <c r="A72" s="25"/>
      <c r="B72" s="25"/>
      <c r="C72" s="26" t="s">
        <v>145</v>
      </c>
      <c r="D72" s="25"/>
      <c r="E72" s="25" t="s">
        <v>146</v>
      </c>
      <c r="F72" s="36" t="s">
        <v>148</v>
      </c>
      <c r="G72" s="33">
        <v>0</v>
      </c>
      <c r="H72" s="24" t="s">
        <v>146</v>
      </c>
    </row>
    <row r="73" spans="1:8" x14ac:dyDescent="0.2">
      <c r="A73" s="25"/>
      <c r="B73" s="25"/>
      <c r="C73" s="34"/>
      <c r="D73" s="25"/>
      <c r="E73" s="25"/>
      <c r="F73" s="35"/>
      <c r="G73" s="35"/>
      <c r="H73" s="24" t="s">
        <v>146</v>
      </c>
    </row>
    <row r="74" spans="1:8" x14ac:dyDescent="0.2">
      <c r="A74" s="25"/>
      <c r="B74" s="25"/>
      <c r="C74" s="26" t="s">
        <v>161</v>
      </c>
      <c r="D74" s="25"/>
      <c r="E74" s="25"/>
      <c r="F74" s="35"/>
      <c r="G74" s="35"/>
      <c r="H74" s="24" t="s">
        <v>146</v>
      </c>
    </row>
    <row r="75" spans="1:8" x14ac:dyDescent="0.2">
      <c r="A75" s="25"/>
      <c r="B75" s="25"/>
      <c r="C75" s="26" t="s">
        <v>145</v>
      </c>
      <c r="D75" s="25"/>
      <c r="E75" s="25" t="s">
        <v>146</v>
      </c>
      <c r="F75" s="36" t="s">
        <v>148</v>
      </c>
      <c r="G75" s="33">
        <v>0</v>
      </c>
      <c r="H75" s="24" t="s">
        <v>146</v>
      </c>
    </row>
    <row r="76" spans="1:8" x14ac:dyDescent="0.2">
      <c r="A76" s="25"/>
      <c r="B76" s="25"/>
      <c r="C76" s="34"/>
      <c r="D76" s="25"/>
      <c r="E76" s="25"/>
      <c r="F76" s="35"/>
      <c r="G76" s="35"/>
      <c r="H76" s="24" t="s">
        <v>146</v>
      </c>
    </row>
    <row r="77" spans="1:8" x14ac:dyDescent="0.2">
      <c r="A77" s="25"/>
      <c r="B77" s="25"/>
      <c r="C77" s="26" t="s">
        <v>162</v>
      </c>
      <c r="D77" s="25"/>
      <c r="E77" s="25"/>
      <c r="F77" s="35"/>
      <c r="G77" s="35"/>
      <c r="H77" s="24" t="s">
        <v>146</v>
      </c>
    </row>
    <row r="78" spans="1:8" x14ac:dyDescent="0.2">
      <c r="A78" s="25"/>
      <c r="B78" s="25"/>
      <c r="C78" s="26" t="s">
        <v>145</v>
      </c>
      <c r="D78" s="25"/>
      <c r="E78" s="25" t="s">
        <v>146</v>
      </c>
      <c r="F78" s="36" t="s">
        <v>148</v>
      </c>
      <c r="G78" s="33">
        <v>0</v>
      </c>
      <c r="H78" s="24" t="s">
        <v>146</v>
      </c>
    </row>
    <row r="79" spans="1:8" x14ac:dyDescent="0.2">
      <c r="A79" s="25"/>
      <c r="B79" s="25"/>
      <c r="C79" s="34"/>
      <c r="D79" s="25"/>
      <c r="E79" s="25"/>
      <c r="F79" s="35"/>
      <c r="G79" s="35"/>
      <c r="H79" s="24" t="s">
        <v>146</v>
      </c>
    </row>
    <row r="80" spans="1:8" x14ac:dyDescent="0.2">
      <c r="A80" s="25"/>
      <c r="B80" s="25"/>
      <c r="C80" s="26" t="s">
        <v>163</v>
      </c>
      <c r="D80" s="25"/>
      <c r="E80" s="25"/>
      <c r="F80" s="35"/>
      <c r="G80" s="35"/>
      <c r="H80" s="24" t="s">
        <v>146</v>
      </c>
    </row>
    <row r="81" spans="1:8" x14ac:dyDescent="0.2">
      <c r="A81" s="27">
        <v>1</v>
      </c>
      <c r="B81" s="28"/>
      <c r="C81" s="28" t="s">
        <v>164</v>
      </c>
      <c r="D81" s="28"/>
      <c r="E81" s="38"/>
      <c r="F81" s="30">
        <v>95.846587499999998</v>
      </c>
      <c r="G81" s="31">
        <v>4.9983659999999999E-2</v>
      </c>
      <c r="H81" s="24">
        <v>6.57</v>
      </c>
    </row>
    <row r="82" spans="1:8" x14ac:dyDescent="0.2">
      <c r="A82" s="25"/>
      <c r="B82" s="25"/>
      <c r="C82" s="26" t="s">
        <v>145</v>
      </c>
      <c r="D82" s="25"/>
      <c r="E82" s="25" t="s">
        <v>146</v>
      </c>
      <c r="F82" s="32">
        <v>95.846587499999998</v>
      </c>
      <c r="G82" s="33">
        <v>4.9983659999999999E-2</v>
      </c>
      <c r="H82" s="24" t="s">
        <v>146</v>
      </c>
    </row>
    <row r="83" spans="1:8" x14ac:dyDescent="0.2">
      <c r="A83" s="25"/>
      <c r="B83" s="25"/>
      <c r="C83" s="34"/>
      <c r="D83" s="25"/>
      <c r="E83" s="25"/>
      <c r="F83" s="35"/>
      <c r="G83" s="35"/>
      <c r="H83" s="24" t="s">
        <v>146</v>
      </c>
    </row>
    <row r="84" spans="1:8" x14ac:dyDescent="0.2">
      <c r="A84" s="25"/>
      <c r="B84" s="25"/>
      <c r="C84" s="26" t="s">
        <v>165</v>
      </c>
      <c r="D84" s="25"/>
      <c r="E84" s="25"/>
      <c r="F84" s="32">
        <v>95.846587499999998</v>
      </c>
      <c r="G84" s="33">
        <v>4.9983659999999999E-2</v>
      </c>
      <c r="H84" s="24" t="s">
        <v>146</v>
      </c>
    </row>
    <row r="85" spans="1:8" x14ac:dyDescent="0.2">
      <c r="A85" s="25"/>
      <c r="B85" s="25"/>
      <c r="C85" s="35"/>
      <c r="D85" s="25"/>
      <c r="E85" s="25"/>
      <c r="F85" s="25"/>
      <c r="G85" s="25"/>
      <c r="H85" s="24" t="s">
        <v>146</v>
      </c>
    </row>
    <row r="86" spans="1:8" x14ac:dyDescent="0.2">
      <c r="A86" s="25"/>
      <c r="B86" s="25"/>
      <c r="C86" s="26" t="s">
        <v>166</v>
      </c>
      <c r="D86" s="25"/>
      <c r="E86" s="25"/>
      <c r="F86" s="25"/>
      <c r="G86" s="25"/>
      <c r="H86" s="24" t="s">
        <v>146</v>
      </c>
    </row>
    <row r="87" spans="1:8" x14ac:dyDescent="0.2">
      <c r="A87" s="25"/>
      <c r="B87" s="25"/>
      <c r="C87" s="26" t="s">
        <v>167</v>
      </c>
      <c r="D87" s="25"/>
      <c r="E87" s="25"/>
      <c r="F87" s="25"/>
      <c r="G87" s="25"/>
      <c r="H87" s="24" t="s">
        <v>146</v>
      </c>
    </row>
    <row r="88" spans="1:8" x14ac:dyDescent="0.2">
      <c r="A88" s="25"/>
      <c r="B88" s="25"/>
      <c r="C88" s="26" t="s">
        <v>145</v>
      </c>
      <c r="D88" s="25"/>
      <c r="E88" s="25" t="s">
        <v>146</v>
      </c>
      <c r="F88" s="36" t="s">
        <v>148</v>
      </c>
      <c r="G88" s="33">
        <v>0</v>
      </c>
      <c r="H88" s="24" t="s">
        <v>146</v>
      </c>
    </row>
    <row r="89" spans="1:8" x14ac:dyDescent="0.2">
      <c r="A89" s="25"/>
      <c r="B89" s="25"/>
      <c r="C89" s="34"/>
      <c r="D89" s="25"/>
      <c r="E89" s="25"/>
      <c r="F89" s="35"/>
      <c r="G89" s="35"/>
      <c r="H89" s="24" t="s">
        <v>146</v>
      </c>
    </row>
    <row r="90" spans="1:8" x14ac:dyDescent="0.2">
      <c r="A90" s="25"/>
      <c r="B90" s="25"/>
      <c r="C90" s="26" t="s">
        <v>168</v>
      </c>
      <c r="D90" s="25"/>
      <c r="E90" s="25"/>
      <c r="F90" s="25"/>
      <c r="G90" s="25"/>
      <c r="H90" s="24" t="s">
        <v>146</v>
      </c>
    </row>
    <row r="91" spans="1:8" x14ac:dyDescent="0.2">
      <c r="A91" s="25"/>
      <c r="B91" s="25"/>
      <c r="C91" s="26" t="s">
        <v>169</v>
      </c>
      <c r="D91" s="25"/>
      <c r="E91" s="25"/>
      <c r="F91" s="25"/>
      <c r="G91" s="25"/>
      <c r="H91" s="24" t="s">
        <v>146</v>
      </c>
    </row>
    <row r="92" spans="1:8" x14ac:dyDescent="0.2">
      <c r="A92" s="25"/>
      <c r="B92" s="25"/>
      <c r="C92" s="26" t="s">
        <v>145</v>
      </c>
      <c r="D92" s="25"/>
      <c r="E92" s="25" t="s">
        <v>146</v>
      </c>
      <c r="F92" s="36" t="s">
        <v>148</v>
      </c>
      <c r="G92" s="33">
        <v>0</v>
      </c>
      <c r="H92" s="24" t="s">
        <v>146</v>
      </c>
    </row>
    <row r="93" spans="1:8" x14ac:dyDescent="0.2">
      <c r="A93" s="25"/>
      <c r="B93" s="25"/>
      <c r="C93" s="34"/>
      <c r="D93" s="25"/>
      <c r="E93" s="25"/>
      <c r="F93" s="35"/>
      <c r="G93" s="35"/>
      <c r="H93" s="24" t="s">
        <v>146</v>
      </c>
    </row>
    <row r="94" spans="1:8" x14ac:dyDescent="0.2">
      <c r="A94" s="25"/>
      <c r="B94" s="25"/>
      <c r="C94" s="26" t="s">
        <v>170</v>
      </c>
      <c r="D94" s="25"/>
      <c r="E94" s="25"/>
      <c r="F94" s="35"/>
      <c r="G94" s="35"/>
      <c r="H94" s="24" t="s">
        <v>146</v>
      </c>
    </row>
    <row r="95" spans="1:8" x14ac:dyDescent="0.2">
      <c r="A95" s="25"/>
      <c r="B95" s="25"/>
      <c r="C95" s="26" t="s">
        <v>145</v>
      </c>
      <c r="D95" s="25"/>
      <c r="E95" s="25" t="s">
        <v>146</v>
      </c>
      <c r="F95" s="36" t="s">
        <v>148</v>
      </c>
      <c r="G95" s="33">
        <v>0</v>
      </c>
      <c r="H95" s="24" t="s">
        <v>146</v>
      </c>
    </row>
    <row r="96" spans="1:8" x14ac:dyDescent="0.2">
      <c r="A96" s="25"/>
      <c r="B96" s="25"/>
      <c r="C96" s="34"/>
      <c r="D96" s="25"/>
      <c r="E96" s="25"/>
      <c r="F96" s="35"/>
      <c r="G96" s="35"/>
      <c r="H96" s="24" t="s">
        <v>146</v>
      </c>
    </row>
    <row r="97" spans="1:17" x14ac:dyDescent="0.2">
      <c r="A97" s="38"/>
      <c r="B97" s="28"/>
      <c r="C97" s="28" t="s">
        <v>171</v>
      </c>
      <c r="D97" s="28"/>
      <c r="E97" s="38"/>
      <c r="F97" s="30">
        <v>101.62055916</v>
      </c>
      <c r="G97" s="31">
        <v>5.2994769999999997E-2</v>
      </c>
      <c r="H97" s="24" t="s">
        <v>146</v>
      </c>
    </row>
    <row r="98" spans="1:17" x14ac:dyDescent="0.2">
      <c r="A98" s="34"/>
      <c r="B98" s="34"/>
      <c r="C98" s="26" t="s">
        <v>172</v>
      </c>
      <c r="D98" s="35"/>
      <c r="E98" s="35"/>
      <c r="F98" s="32">
        <v>1917.5582982599999</v>
      </c>
      <c r="G98" s="39">
        <v>1</v>
      </c>
      <c r="H98" s="24" t="s">
        <v>146</v>
      </c>
    </row>
    <row r="99" spans="1:17" x14ac:dyDescent="0.2">
      <c r="A99" s="40"/>
      <c r="B99" s="40"/>
      <c r="C99" s="40"/>
      <c r="D99" s="41"/>
      <c r="E99" s="41"/>
      <c r="F99" s="41"/>
      <c r="G99" s="41"/>
    </row>
    <row r="100" spans="1:17" x14ac:dyDescent="0.2">
      <c r="A100" s="42"/>
      <c r="B100" s="236" t="s">
        <v>858</v>
      </c>
      <c r="C100" s="236"/>
      <c r="D100" s="236"/>
      <c r="E100" s="236"/>
      <c r="F100" s="236"/>
      <c r="G100" s="236"/>
      <c r="H100" s="236"/>
      <c r="J100" s="44"/>
    </row>
    <row r="101" spans="1:17" x14ac:dyDescent="0.2">
      <c r="A101" s="42"/>
      <c r="B101" s="236" t="s">
        <v>859</v>
      </c>
      <c r="C101" s="236"/>
      <c r="D101" s="236"/>
      <c r="E101" s="236"/>
      <c r="F101" s="236"/>
      <c r="G101" s="236"/>
      <c r="H101" s="236"/>
      <c r="J101" s="44"/>
    </row>
    <row r="102" spans="1:17" x14ac:dyDescent="0.2">
      <c r="A102" s="42"/>
      <c r="B102" s="236" t="s">
        <v>860</v>
      </c>
      <c r="C102" s="236"/>
      <c r="D102" s="236"/>
      <c r="E102" s="236"/>
      <c r="F102" s="236"/>
      <c r="G102" s="236"/>
      <c r="H102" s="236"/>
      <c r="J102" s="44"/>
    </row>
    <row r="103" spans="1:17" s="46" customFormat="1" ht="66.75" customHeight="1" x14ac:dyDescent="0.25">
      <c r="A103" s="45"/>
      <c r="B103" s="237" t="s">
        <v>861</v>
      </c>
      <c r="C103" s="237"/>
      <c r="D103" s="237"/>
      <c r="E103" s="237"/>
      <c r="F103" s="237"/>
      <c r="G103" s="237"/>
      <c r="H103" s="237"/>
      <c r="I103"/>
      <c r="J103" s="44"/>
      <c r="K103"/>
      <c r="L103"/>
      <c r="M103"/>
      <c r="N103"/>
      <c r="O103"/>
      <c r="P103"/>
      <c r="Q103"/>
    </row>
    <row r="104" spans="1:17" x14ac:dyDescent="0.2">
      <c r="A104" s="42"/>
      <c r="B104" s="236" t="s">
        <v>862</v>
      </c>
      <c r="C104" s="236"/>
      <c r="D104" s="236"/>
      <c r="E104" s="236"/>
      <c r="F104" s="236"/>
      <c r="G104" s="236"/>
      <c r="H104" s="236"/>
      <c r="J104" s="44"/>
    </row>
    <row r="105" spans="1:17" x14ac:dyDescent="0.2">
      <c r="A105" s="47"/>
      <c r="B105" s="241" t="s">
        <v>146</v>
      </c>
      <c r="C105" s="241"/>
      <c r="D105" s="241"/>
      <c r="E105" s="241"/>
      <c r="F105" s="241"/>
      <c r="G105" s="48"/>
    </row>
    <row r="106" spans="1:17" x14ac:dyDescent="0.2">
      <c r="A106" s="42"/>
      <c r="B106" s="242" t="s">
        <v>173</v>
      </c>
      <c r="C106" s="243"/>
      <c r="D106" s="244"/>
      <c r="E106" s="51"/>
      <c r="F106" s="52"/>
      <c r="G106" s="52"/>
    </row>
    <row r="107" spans="1:17" ht="27" customHeight="1" x14ac:dyDescent="0.2">
      <c r="A107" s="42"/>
      <c r="B107" s="227" t="s">
        <v>174</v>
      </c>
      <c r="C107" s="228"/>
      <c r="D107" s="50" t="s">
        <v>175</v>
      </c>
      <c r="E107" s="51"/>
      <c r="F107" s="52"/>
      <c r="G107" s="52"/>
    </row>
    <row r="108" spans="1:17" x14ac:dyDescent="0.2">
      <c r="A108" s="42"/>
      <c r="B108" s="227" t="s">
        <v>863</v>
      </c>
      <c r="C108" s="228"/>
      <c r="D108" s="50" t="s">
        <v>175</v>
      </c>
      <c r="E108" s="51"/>
      <c r="F108" s="52"/>
      <c r="G108" s="52"/>
    </row>
    <row r="109" spans="1:17" x14ac:dyDescent="0.2">
      <c r="A109" s="42"/>
      <c r="B109" s="227" t="s">
        <v>176</v>
      </c>
      <c r="C109" s="228"/>
      <c r="D109" s="75" t="s">
        <v>146</v>
      </c>
      <c r="E109" s="51"/>
      <c r="F109" s="52"/>
      <c r="G109" s="52"/>
    </row>
    <row r="110" spans="1:17" x14ac:dyDescent="0.2">
      <c r="A110" s="53"/>
      <c r="B110" s="54" t="s">
        <v>146</v>
      </c>
      <c r="C110" s="54" t="s">
        <v>864</v>
      </c>
      <c r="D110" s="54" t="s">
        <v>177</v>
      </c>
      <c r="E110" s="53"/>
      <c r="F110" s="53"/>
      <c r="G110" s="53"/>
      <c r="H110" s="53"/>
      <c r="J110" s="44"/>
    </row>
    <row r="111" spans="1:17" x14ac:dyDescent="0.2">
      <c r="A111" s="53"/>
      <c r="B111" s="55" t="s">
        <v>178</v>
      </c>
      <c r="C111" s="56">
        <v>45657</v>
      </c>
      <c r="D111" s="56">
        <v>45688</v>
      </c>
      <c r="E111" s="53"/>
      <c r="F111" s="53"/>
      <c r="G111" s="53"/>
      <c r="J111" s="44"/>
    </row>
    <row r="112" spans="1:17" x14ac:dyDescent="0.2">
      <c r="A112" s="57"/>
      <c r="B112" s="28" t="s">
        <v>179</v>
      </c>
      <c r="C112" s="58">
        <v>31.9072</v>
      </c>
      <c r="D112" s="58">
        <v>31.394400000000001</v>
      </c>
      <c r="E112" s="57"/>
      <c r="F112" s="59"/>
      <c r="G112" s="60"/>
    </row>
    <row r="113" spans="1:7" x14ac:dyDescent="0.2">
      <c r="A113" s="57"/>
      <c r="B113" s="28" t="s">
        <v>1025</v>
      </c>
      <c r="C113" s="58">
        <v>25.3385</v>
      </c>
      <c r="D113" s="58">
        <v>24.9312</v>
      </c>
      <c r="E113" s="57"/>
      <c r="F113" s="59"/>
      <c r="G113" s="60"/>
    </row>
    <row r="114" spans="1:7" x14ac:dyDescent="0.2">
      <c r="A114" s="57"/>
      <c r="B114" s="28" t="s">
        <v>180</v>
      </c>
      <c r="C114" s="58">
        <v>31.1602</v>
      </c>
      <c r="D114" s="58">
        <v>30.658100000000001</v>
      </c>
      <c r="E114" s="57"/>
      <c r="F114" s="59"/>
      <c r="G114" s="60"/>
    </row>
    <row r="115" spans="1:7" x14ac:dyDescent="0.2">
      <c r="A115" s="57"/>
      <c r="B115" s="28" t="s">
        <v>1026</v>
      </c>
      <c r="C115" s="58">
        <v>24.6282</v>
      </c>
      <c r="D115" s="58">
        <v>24.231300000000001</v>
      </c>
      <c r="E115" s="57"/>
      <c r="F115" s="59"/>
      <c r="G115" s="60"/>
    </row>
    <row r="116" spans="1:7" x14ac:dyDescent="0.2">
      <c r="A116" s="57"/>
      <c r="B116" s="57"/>
      <c r="C116" s="57"/>
      <c r="D116" s="57"/>
      <c r="E116" s="57"/>
      <c r="F116" s="57"/>
      <c r="G116" s="57"/>
    </row>
    <row r="117" spans="1:7" x14ac:dyDescent="0.2">
      <c r="A117" s="53"/>
      <c r="B117" s="227" t="s">
        <v>865</v>
      </c>
      <c r="C117" s="228"/>
      <c r="D117" s="50" t="s">
        <v>175</v>
      </c>
      <c r="E117" s="53"/>
      <c r="F117" s="53"/>
      <c r="G117" s="53"/>
    </row>
    <row r="118" spans="1:7" x14ac:dyDescent="0.2">
      <c r="A118" s="53"/>
      <c r="B118" s="74"/>
      <c r="C118" s="74"/>
      <c r="D118" s="74"/>
      <c r="E118" s="53"/>
      <c r="F118" s="53"/>
      <c r="G118" s="53"/>
    </row>
    <row r="119" spans="1:7" x14ac:dyDescent="0.2">
      <c r="A119" s="53"/>
      <c r="B119" s="227" t="s">
        <v>181</v>
      </c>
      <c r="C119" s="228"/>
      <c r="D119" s="50" t="s">
        <v>175</v>
      </c>
      <c r="E119" s="64"/>
      <c r="F119" s="53"/>
      <c r="G119" s="53"/>
    </row>
    <row r="120" spans="1:7" x14ac:dyDescent="0.2">
      <c r="A120" s="53"/>
      <c r="B120" s="227" t="s">
        <v>182</v>
      </c>
      <c r="C120" s="228"/>
      <c r="D120" s="50" t="s">
        <v>175</v>
      </c>
      <c r="E120" s="64"/>
      <c r="F120" s="53"/>
      <c r="G120" s="53"/>
    </row>
    <row r="121" spans="1:7" x14ac:dyDescent="0.2">
      <c r="A121" s="53"/>
      <c r="B121" s="227" t="s">
        <v>183</v>
      </c>
      <c r="C121" s="228"/>
      <c r="D121" s="50" t="s">
        <v>175</v>
      </c>
      <c r="E121" s="64"/>
      <c r="F121" s="53"/>
      <c r="G121" s="53"/>
    </row>
    <row r="122" spans="1:7" x14ac:dyDescent="0.2">
      <c r="A122" s="53"/>
      <c r="B122" s="227" t="s">
        <v>184</v>
      </c>
      <c r="C122" s="228"/>
      <c r="D122" s="65">
        <v>3.0417516496697852E-2</v>
      </c>
      <c r="E122" s="53"/>
      <c r="F122" s="43"/>
      <c r="G122" s="63"/>
    </row>
    <row r="124" spans="1:7" x14ac:dyDescent="0.2">
      <c r="B124" s="229" t="s">
        <v>866</v>
      </c>
      <c r="C124" s="229"/>
    </row>
    <row r="126" spans="1:7" ht="153.75" customHeight="1" x14ac:dyDescent="0.2"/>
    <row r="129" spans="2:10" x14ac:dyDescent="0.2">
      <c r="B129" s="66" t="s">
        <v>867</v>
      </c>
      <c r="C129" s="67"/>
      <c r="D129" s="66"/>
    </row>
    <row r="130" spans="2:10" x14ac:dyDescent="0.2">
      <c r="B130" s="66" t="s">
        <v>876</v>
      </c>
      <c r="D130" s="66"/>
    </row>
    <row r="131" spans="2:10" ht="165" customHeight="1" x14ac:dyDescent="0.2"/>
    <row r="133" spans="2:10" x14ac:dyDescent="0.2">
      <c r="J133" s="21"/>
    </row>
  </sheetData>
  <mergeCells count="19">
    <mergeCell ref="B124:C124"/>
    <mergeCell ref="A1:H1"/>
    <mergeCell ref="A2:H2"/>
    <mergeCell ref="A3:H3"/>
    <mergeCell ref="B108:C108"/>
    <mergeCell ref="B109:C109"/>
    <mergeCell ref="B117:C117"/>
    <mergeCell ref="B121:C121"/>
    <mergeCell ref="B122:C122"/>
    <mergeCell ref="B105:F105"/>
    <mergeCell ref="B106:D106"/>
    <mergeCell ref="B107:C107"/>
    <mergeCell ref="B100:H100"/>
    <mergeCell ref="B101:H101"/>
    <mergeCell ref="B119:C119"/>
    <mergeCell ref="B120:C120"/>
    <mergeCell ref="B102:H102"/>
    <mergeCell ref="B103:H103"/>
    <mergeCell ref="B104:H104"/>
  </mergeCells>
  <hyperlinks>
    <hyperlink ref="I1" location="Index!B2" display="Index" xr:uid="{BB60D562-26E9-4450-8C17-D4D1079ACA6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C7586-5F74-4CFF-B737-DE7925C3C6AF}">
  <sheetPr>
    <outlinePr summaryBelow="0" summaryRight="0"/>
  </sheetPr>
  <dimension ref="A1:Q136"/>
  <sheetViews>
    <sheetView showGridLines="0"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30" t="s">
        <v>0</v>
      </c>
      <c r="B1" s="230"/>
      <c r="C1" s="230"/>
      <c r="D1" s="230"/>
      <c r="E1" s="230"/>
      <c r="F1" s="230"/>
      <c r="G1" s="230"/>
      <c r="H1" s="230"/>
      <c r="I1" s="18" t="s">
        <v>1024</v>
      </c>
    </row>
    <row r="2" spans="1:9" ht="15" x14ac:dyDescent="0.2">
      <c r="A2" s="230" t="s">
        <v>450</v>
      </c>
      <c r="B2" s="230"/>
      <c r="C2" s="230"/>
      <c r="D2" s="230"/>
      <c r="E2" s="230"/>
      <c r="F2" s="230"/>
      <c r="G2" s="230"/>
      <c r="H2" s="230"/>
    </row>
    <row r="3" spans="1:9" ht="15" x14ac:dyDescent="0.2">
      <c r="A3" s="230" t="s">
        <v>856</v>
      </c>
      <c r="B3" s="230"/>
      <c r="C3" s="230"/>
      <c r="D3" s="230"/>
      <c r="E3" s="230"/>
      <c r="F3" s="230"/>
      <c r="G3" s="230"/>
      <c r="H3" s="230"/>
    </row>
    <row r="4" spans="1:9" s="21" customFormat="1" ht="30" x14ac:dyDescent="0.2">
      <c r="A4" s="19" t="s">
        <v>2</v>
      </c>
      <c r="B4" s="19" t="s">
        <v>3</v>
      </c>
      <c r="C4" s="19" t="s">
        <v>4</v>
      </c>
      <c r="D4" s="19" t="s">
        <v>5</v>
      </c>
      <c r="E4" s="19" t="s">
        <v>6</v>
      </c>
      <c r="F4" s="19" t="s">
        <v>7</v>
      </c>
      <c r="G4" s="19" t="s">
        <v>8</v>
      </c>
      <c r="H4" s="20" t="s">
        <v>855</v>
      </c>
    </row>
    <row r="5" spans="1:9" x14ac:dyDescent="0.2">
      <c r="A5" s="22"/>
      <c r="B5" s="22"/>
      <c r="C5" s="23" t="s">
        <v>9</v>
      </c>
      <c r="D5" s="22"/>
      <c r="E5" s="22"/>
      <c r="F5" s="22"/>
      <c r="G5" s="22"/>
      <c r="H5" s="24" t="s">
        <v>146</v>
      </c>
    </row>
    <row r="6" spans="1:9" x14ac:dyDescent="0.2">
      <c r="A6" s="25"/>
      <c r="B6" s="25"/>
      <c r="C6" s="26" t="s">
        <v>10</v>
      </c>
      <c r="D6" s="25"/>
      <c r="E6" s="25"/>
      <c r="F6" s="25"/>
      <c r="G6" s="25"/>
      <c r="H6" s="24" t="s">
        <v>146</v>
      </c>
    </row>
    <row r="7" spans="1:9" x14ac:dyDescent="0.2">
      <c r="A7" s="27">
        <v>1</v>
      </c>
      <c r="B7" s="28" t="s">
        <v>31</v>
      </c>
      <c r="C7" s="28" t="s">
        <v>32</v>
      </c>
      <c r="D7" s="28" t="s">
        <v>33</v>
      </c>
      <c r="E7" s="29">
        <v>9333</v>
      </c>
      <c r="F7" s="30">
        <v>116.923824</v>
      </c>
      <c r="G7" s="31">
        <v>9.4809199999999996E-2</v>
      </c>
      <c r="H7" s="24" t="s">
        <v>146</v>
      </c>
    </row>
    <row r="8" spans="1:9" x14ac:dyDescent="0.2">
      <c r="A8" s="27">
        <v>2</v>
      </c>
      <c r="B8" s="28" t="s">
        <v>327</v>
      </c>
      <c r="C8" s="28" t="s">
        <v>328</v>
      </c>
      <c r="D8" s="28" t="s">
        <v>33</v>
      </c>
      <c r="E8" s="29">
        <v>6661</v>
      </c>
      <c r="F8" s="30">
        <v>113.15373750000001</v>
      </c>
      <c r="G8" s="31">
        <v>9.1752180000000003E-2</v>
      </c>
      <c r="H8" s="24" t="s">
        <v>146</v>
      </c>
    </row>
    <row r="9" spans="1:9" x14ac:dyDescent="0.2">
      <c r="A9" s="27">
        <v>3</v>
      </c>
      <c r="B9" s="28" t="s">
        <v>329</v>
      </c>
      <c r="C9" s="28" t="s">
        <v>330</v>
      </c>
      <c r="D9" s="28" t="s">
        <v>195</v>
      </c>
      <c r="E9" s="29">
        <v>5430</v>
      </c>
      <c r="F9" s="30">
        <v>102.07314</v>
      </c>
      <c r="G9" s="31">
        <v>8.276733E-2</v>
      </c>
      <c r="H9" s="24" t="s">
        <v>146</v>
      </c>
    </row>
    <row r="10" spans="1:9" x14ac:dyDescent="0.2">
      <c r="A10" s="27">
        <v>4</v>
      </c>
      <c r="B10" s="28" t="s">
        <v>48</v>
      </c>
      <c r="C10" s="28" t="s">
        <v>49</v>
      </c>
      <c r="D10" s="28" t="s">
        <v>33</v>
      </c>
      <c r="E10" s="29">
        <v>11730</v>
      </c>
      <c r="F10" s="30">
        <v>90.661169999999998</v>
      </c>
      <c r="G10" s="31">
        <v>7.3513789999999996E-2</v>
      </c>
      <c r="H10" s="24" t="s">
        <v>146</v>
      </c>
    </row>
    <row r="11" spans="1:9" x14ac:dyDescent="0.2">
      <c r="A11" s="27">
        <v>5</v>
      </c>
      <c r="B11" s="28" t="s">
        <v>14</v>
      </c>
      <c r="C11" s="28" t="s">
        <v>15</v>
      </c>
      <c r="D11" s="28" t="s">
        <v>16</v>
      </c>
      <c r="E11" s="29">
        <v>6978</v>
      </c>
      <c r="F11" s="30">
        <v>88.278677999999999</v>
      </c>
      <c r="G11" s="31">
        <v>7.1581919999999993E-2</v>
      </c>
      <c r="H11" s="24" t="s">
        <v>146</v>
      </c>
    </row>
    <row r="12" spans="1:9" x14ac:dyDescent="0.2">
      <c r="A12" s="27">
        <v>6</v>
      </c>
      <c r="B12" s="28" t="s">
        <v>17</v>
      </c>
      <c r="C12" s="28" t="s">
        <v>18</v>
      </c>
      <c r="D12" s="28" t="s">
        <v>19</v>
      </c>
      <c r="E12" s="29">
        <v>4294</v>
      </c>
      <c r="F12" s="30">
        <v>69.833321999999995</v>
      </c>
      <c r="G12" s="31">
        <v>5.6625259999999997E-2</v>
      </c>
      <c r="H12" s="24" t="s">
        <v>146</v>
      </c>
    </row>
    <row r="13" spans="1:9" x14ac:dyDescent="0.2">
      <c r="A13" s="27">
        <v>7</v>
      </c>
      <c r="B13" s="28" t="s">
        <v>11</v>
      </c>
      <c r="C13" s="28" t="s">
        <v>12</v>
      </c>
      <c r="D13" s="28" t="s">
        <v>13</v>
      </c>
      <c r="E13" s="29">
        <v>1772</v>
      </c>
      <c r="F13" s="30">
        <v>63.214328000000002</v>
      </c>
      <c r="G13" s="31">
        <v>5.1258159999999997E-2</v>
      </c>
      <c r="H13" s="24" t="s">
        <v>146</v>
      </c>
    </row>
    <row r="14" spans="1:9" ht="25.5" x14ac:dyDescent="0.2">
      <c r="A14" s="27">
        <v>8</v>
      </c>
      <c r="B14" s="28" t="s">
        <v>23</v>
      </c>
      <c r="C14" s="28" t="s">
        <v>24</v>
      </c>
      <c r="D14" s="28" t="s">
        <v>25</v>
      </c>
      <c r="E14" s="29">
        <v>424</v>
      </c>
      <c r="F14" s="30">
        <v>48.706788000000003</v>
      </c>
      <c r="G14" s="31">
        <v>3.949453E-2</v>
      </c>
      <c r="H14" s="24" t="s">
        <v>146</v>
      </c>
    </row>
    <row r="15" spans="1:9" x14ac:dyDescent="0.2">
      <c r="A15" s="27">
        <v>9</v>
      </c>
      <c r="B15" s="28" t="s">
        <v>339</v>
      </c>
      <c r="C15" s="28" t="s">
        <v>340</v>
      </c>
      <c r="D15" s="28" t="s">
        <v>33</v>
      </c>
      <c r="E15" s="29">
        <v>3621</v>
      </c>
      <c r="F15" s="30">
        <v>35.706681000000003</v>
      </c>
      <c r="G15" s="31">
        <v>2.895323E-2</v>
      </c>
      <c r="H15" s="24" t="s">
        <v>146</v>
      </c>
    </row>
    <row r="16" spans="1:9" x14ac:dyDescent="0.2">
      <c r="A16" s="27">
        <v>10</v>
      </c>
      <c r="B16" s="28" t="s">
        <v>357</v>
      </c>
      <c r="C16" s="28" t="s">
        <v>358</v>
      </c>
      <c r="D16" s="28" t="s">
        <v>275</v>
      </c>
      <c r="E16" s="29">
        <v>4883</v>
      </c>
      <c r="F16" s="30">
        <v>34.967162999999999</v>
      </c>
      <c r="G16" s="31">
        <v>2.835358E-2</v>
      </c>
      <c r="H16" s="24" t="s">
        <v>146</v>
      </c>
    </row>
    <row r="17" spans="1:8" x14ac:dyDescent="0.2">
      <c r="A17" s="27">
        <v>11</v>
      </c>
      <c r="B17" s="28" t="s">
        <v>219</v>
      </c>
      <c r="C17" s="28" t="s">
        <v>220</v>
      </c>
      <c r="D17" s="28" t="s">
        <v>16</v>
      </c>
      <c r="E17" s="29">
        <v>9124</v>
      </c>
      <c r="F17" s="30">
        <v>32.686729999999997</v>
      </c>
      <c r="G17" s="31">
        <v>2.6504460000000001E-2</v>
      </c>
      <c r="H17" s="24" t="s">
        <v>146</v>
      </c>
    </row>
    <row r="18" spans="1:8" x14ac:dyDescent="0.2">
      <c r="A18" s="27">
        <v>12</v>
      </c>
      <c r="B18" s="28" t="s">
        <v>347</v>
      </c>
      <c r="C18" s="28" t="s">
        <v>348</v>
      </c>
      <c r="D18" s="28" t="s">
        <v>349</v>
      </c>
      <c r="E18" s="29">
        <v>7286</v>
      </c>
      <c r="F18" s="30">
        <v>32.604849999999999</v>
      </c>
      <c r="G18" s="31">
        <v>2.6438070000000001E-2</v>
      </c>
      <c r="H18" s="24" t="s">
        <v>146</v>
      </c>
    </row>
    <row r="19" spans="1:8" x14ac:dyDescent="0.2">
      <c r="A19" s="27">
        <v>13</v>
      </c>
      <c r="B19" s="28" t="s">
        <v>363</v>
      </c>
      <c r="C19" s="28" t="s">
        <v>364</v>
      </c>
      <c r="D19" s="28" t="s">
        <v>39</v>
      </c>
      <c r="E19" s="29">
        <v>901</v>
      </c>
      <c r="F19" s="30">
        <v>31.447152500000001</v>
      </c>
      <c r="G19" s="31">
        <v>2.5499330000000001E-2</v>
      </c>
      <c r="H19" s="24" t="s">
        <v>146</v>
      </c>
    </row>
    <row r="20" spans="1:8" ht="25.5" x14ac:dyDescent="0.2">
      <c r="A20" s="27">
        <v>14</v>
      </c>
      <c r="B20" s="28" t="s">
        <v>188</v>
      </c>
      <c r="C20" s="28" t="s">
        <v>189</v>
      </c>
      <c r="D20" s="28" t="s">
        <v>190</v>
      </c>
      <c r="E20" s="29">
        <v>1637</v>
      </c>
      <c r="F20" s="30">
        <v>29.6223335</v>
      </c>
      <c r="G20" s="31">
        <v>2.401965E-2</v>
      </c>
      <c r="H20" s="24" t="s">
        <v>146</v>
      </c>
    </row>
    <row r="21" spans="1:8" x14ac:dyDescent="0.2">
      <c r="A21" s="27">
        <v>15</v>
      </c>
      <c r="B21" s="28" t="s">
        <v>137</v>
      </c>
      <c r="C21" s="28" t="s">
        <v>138</v>
      </c>
      <c r="D21" s="28" t="s">
        <v>139</v>
      </c>
      <c r="E21" s="29">
        <v>3580</v>
      </c>
      <c r="F21" s="30">
        <v>28.337489999999999</v>
      </c>
      <c r="G21" s="31">
        <v>2.2977819999999999E-2</v>
      </c>
      <c r="H21" s="24" t="s">
        <v>146</v>
      </c>
    </row>
    <row r="22" spans="1:8" x14ac:dyDescent="0.2">
      <c r="A22" s="27">
        <v>16</v>
      </c>
      <c r="B22" s="28" t="s">
        <v>435</v>
      </c>
      <c r="C22" s="28" t="s">
        <v>436</v>
      </c>
      <c r="D22" s="28" t="s">
        <v>195</v>
      </c>
      <c r="E22" s="29">
        <v>1555</v>
      </c>
      <c r="F22" s="30">
        <v>26.830747500000001</v>
      </c>
      <c r="G22" s="31">
        <v>2.1756060000000001E-2</v>
      </c>
      <c r="H22" s="24" t="s">
        <v>146</v>
      </c>
    </row>
    <row r="23" spans="1:8" x14ac:dyDescent="0.2">
      <c r="A23" s="27">
        <v>17</v>
      </c>
      <c r="B23" s="28" t="s">
        <v>335</v>
      </c>
      <c r="C23" s="28" t="s">
        <v>336</v>
      </c>
      <c r="D23" s="28" t="s">
        <v>195</v>
      </c>
      <c r="E23" s="29">
        <v>617</v>
      </c>
      <c r="F23" s="30">
        <v>25.373508000000001</v>
      </c>
      <c r="G23" s="31">
        <v>2.0574439999999999E-2</v>
      </c>
      <c r="H23" s="24" t="s">
        <v>146</v>
      </c>
    </row>
    <row r="24" spans="1:8" ht="25.5" x14ac:dyDescent="0.2">
      <c r="A24" s="27">
        <v>18</v>
      </c>
      <c r="B24" s="28" t="s">
        <v>301</v>
      </c>
      <c r="C24" s="28" t="s">
        <v>302</v>
      </c>
      <c r="D24" s="28" t="s">
        <v>258</v>
      </c>
      <c r="E24" s="29">
        <v>526</v>
      </c>
      <c r="F24" s="30">
        <v>21.822161999999999</v>
      </c>
      <c r="G24" s="31">
        <v>1.769478E-2</v>
      </c>
      <c r="H24" s="24" t="s">
        <v>146</v>
      </c>
    </row>
    <row r="25" spans="1:8" x14ac:dyDescent="0.2">
      <c r="A25" s="27">
        <v>19</v>
      </c>
      <c r="B25" s="28" t="s">
        <v>341</v>
      </c>
      <c r="C25" s="28" t="s">
        <v>342</v>
      </c>
      <c r="D25" s="28" t="s">
        <v>33</v>
      </c>
      <c r="E25" s="29">
        <v>9495</v>
      </c>
      <c r="F25" s="30">
        <v>20.261380500000001</v>
      </c>
      <c r="G25" s="31">
        <v>1.6429200000000001E-2</v>
      </c>
      <c r="H25" s="24" t="s">
        <v>146</v>
      </c>
    </row>
    <row r="26" spans="1:8" x14ac:dyDescent="0.2">
      <c r="A26" s="27">
        <v>20</v>
      </c>
      <c r="B26" s="28" t="s">
        <v>114</v>
      </c>
      <c r="C26" s="28" t="s">
        <v>115</v>
      </c>
      <c r="D26" s="28" t="s">
        <v>83</v>
      </c>
      <c r="E26" s="29">
        <v>587</v>
      </c>
      <c r="F26" s="30">
        <v>20.109445999999998</v>
      </c>
      <c r="G26" s="31">
        <v>1.6306009999999999E-2</v>
      </c>
      <c r="H26" s="24" t="s">
        <v>146</v>
      </c>
    </row>
    <row r="27" spans="1:8" x14ac:dyDescent="0.2">
      <c r="A27" s="27">
        <v>21</v>
      </c>
      <c r="B27" s="28" t="s">
        <v>43</v>
      </c>
      <c r="C27" s="28" t="s">
        <v>44</v>
      </c>
      <c r="D27" s="28" t="s">
        <v>16</v>
      </c>
      <c r="E27" s="29">
        <v>7496</v>
      </c>
      <c r="F27" s="30">
        <v>19.572056</v>
      </c>
      <c r="G27" s="31">
        <v>1.5870260000000001E-2</v>
      </c>
      <c r="H27" s="24" t="s">
        <v>146</v>
      </c>
    </row>
    <row r="28" spans="1:8" x14ac:dyDescent="0.2">
      <c r="A28" s="27">
        <v>22</v>
      </c>
      <c r="B28" s="28" t="s">
        <v>433</v>
      </c>
      <c r="C28" s="28" t="s">
        <v>434</v>
      </c>
      <c r="D28" s="28" t="s">
        <v>280</v>
      </c>
      <c r="E28" s="29">
        <v>1169</v>
      </c>
      <c r="F28" s="30">
        <v>17.343284000000001</v>
      </c>
      <c r="G28" s="31">
        <v>1.4063030000000001E-2</v>
      </c>
      <c r="H28" s="24" t="s">
        <v>146</v>
      </c>
    </row>
    <row r="29" spans="1:8" ht="25.5" x14ac:dyDescent="0.2">
      <c r="A29" s="27">
        <v>23</v>
      </c>
      <c r="B29" s="28" t="s">
        <v>437</v>
      </c>
      <c r="C29" s="28" t="s">
        <v>438</v>
      </c>
      <c r="D29" s="28" t="s">
        <v>198</v>
      </c>
      <c r="E29" s="29">
        <v>1140</v>
      </c>
      <c r="F29" s="30">
        <v>16.865159999999999</v>
      </c>
      <c r="G29" s="31">
        <v>1.3675329999999999E-2</v>
      </c>
      <c r="H29" s="24" t="s">
        <v>146</v>
      </c>
    </row>
    <row r="30" spans="1:8" x14ac:dyDescent="0.2">
      <c r="A30" s="27">
        <v>24</v>
      </c>
      <c r="B30" s="28" t="s">
        <v>445</v>
      </c>
      <c r="C30" s="28" t="s">
        <v>446</v>
      </c>
      <c r="D30" s="28" t="s">
        <v>447</v>
      </c>
      <c r="E30" s="29">
        <v>2810</v>
      </c>
      <c r="F30" s="30">
        <v>16.699829999999999</v>
      </c>
      <c r="G30" s="31">
        <v>1.3541269999999999E-2</v>
      </c>
      <c r="H30" s="24" t="s">
        <v>146</v>
      </c>
    </row>
    <row r="31" spans="1:8" ht="25.5" x14ac:dyDescent="0.2">
      <c r="A31" s="27">
        <v>25</v>
      </c>
      <c r="B31" s="28" t="s">
        <v>443</v>
      </c>
      <c r="C31" s="28" t="s">
        <v>444</v>
      </c>
      <c r="D31" s="28" t="s">
        <v>218</v>
      </c>
      <c r="E31" s="29">
        <v>1612</v>
      </c>
      <c r="F31" s="30">
        <v>16.517358000000002</v>
      </c>
      <c r="G31" s="31">
        <v>1.339332E-2</v>
      </c>
      <c r="H31" s="24" t="s">
        <v>146</v>
      </c>
    </row>
    <row r="32" spans="1:8" x14ac:dyDescent="0.2">
      <c r="A32" s="27">
        <v>26</v>
      </c>
      <c r="B32" s="28" t="s">
        <v>333</v>
      </c>
      <c r="C32" s="28" t="s">
        <v>334</v>
      </c>
      <c r="D32" s="28" t="s">
        <v>33</v>
      </c>
      <c r="E32" s="29">
        <v>731</v>
      </c>
      <c r="F32" s="30">
        <v>13.898503</v>
      </c>
      <c r="G32" s="31">
        <v>1.126978E-2</v>
      </c>
      <c r="H32" s="24" t="s">
        <v>146</v>
      </c>
    </row>
    <row r="33" spans="1:8" ht="25.5" x14ac:dyDescent="0.2">
      <c r="A33" s="27">
        <v>27</v>
      </c>
      <c r="B33" s="28" t="s">
        <v>439</v>
      </c>
      <c r="C33" s="28" t="s">
        <v>440</v>
      </c>
      <c r="D33" s="28" t="s">
        <v>25</v>
      </c>
      <c r="E33" s="29">
        <v>1190</v>
      </c>
      <c r="F33" s="30">
        <v>13.89325</v>
      </c>
      <c r="G33" s="31">
        <v>1.1265519999999999E-2</v>
      </c>
      <c r="H33" s="24" t="s">
        <v>146</v>
      </c>
    </row>
    <row r="34" spans="1:8" x14ac:dyDescent="0.2">
      <c r="A34" s="27">
        <v>28</v>
      </c>
      <c r="B34" s="28" t="s">
        <v>441</v>
      </c>
      <c r="C34" s="28" t="s">
        <v>442</v>
      </c>
      <c r="D34" s="28" t="s">
        <v>349</v>
      </c>
      <c r="E34" s="29">
        <v>517</v>
      </c>
      <c r="F34" s="30">
        <v>12.763695999999999</v>
      </c>
      <c r="G34" s="31">
        <v>1.034961E-2</v>
      </c>
      <c r="H34" s="24" t="s">
        <v>146</v>
      </c>
    </row>
    <row r="35" spans="1:8" x14ac:dyDescent="0.2">
      <c r="A35" s="27">
        <v>29</v>
      </c>
      <c r="B35" s="28" t="s">
        <v>129</v>
      </c>
      <c r="C35" s="28" t="s">
        <v>130</v>
      </c>
      <c r="D35" s="28" t="s">
        <v>80</v>
      </c>
      <c r="E35" s="29">
        <v>1497</v>
      </c>
      <c r="F35" s="30">
        <v>11.678096999999999</v>
      </c>
      <c r="G35" s="31">
        <v>9.4693399999999997E-3</v>
      </c>
      <c r="H35" s="24" t="s">
        <v>146</v>
      </c>
    </row>
    <row r="36" spans="1:8" x14ac:dyDescent="0.2">
      <c r="A36" s="27">
        <v>30</v>
      </c>
      <c r="B36" s="28" t="s">
        <v>448</v>
      </c>
      <c r="C36" s="28" t="s">
        <v>449</v>
      </c>
      <c r="D36" s="28" t="s">
        <v>33</v>
      </c>
      <c r="E36" s="29">
        <v>989</v>
      </c>
      <c r="F36" s="30">
        <v>9.8029679999999999</v>
      </c>
      <c r="G36" s="31">
        <v>7.9488600000000003E-3</v>
      </c>
      <c r="H36" s="24" t="s">
        <v>146</v>
      </c>
    </row>
    <row r="37" spans="1:8" x14ac:dyDescent="0.2">
      <c r="A37" s="27">
        <v>31</v>
      </c>
      <c r="B37" s="28" t="s">
        <v>451</v>
      </c>
      <c r="C37" s="28" t="s">
        <v>452</v>
      </c>
      <c r="D37" s="28" t="s">
        <v>195</v>
      </c>
      <c r="E37" s="29">
        <v>3116</v>
      </c>
      <c r="F37" s="30">
        <v>9.7188040000000004</v>
      </c>
      <c r="G37" s="31">
        <v>7.8806199999999996E-3</v>
      </c>
      <c r="H37" s="24" t="s">
        <v>146</v>
      </c>
    </row>
    <row r="38" spans="1:8" x14ac:dyDescent="0.2">
      <c r="A38" s="27">
        <v>32</v>
      </c>
      <c r="B38" s="28" t="s">
        <v>453</v>
      </c>
      <c r="C38" s="28" t="s">
        <v>454</v>
      </c>
      <c r="D38" s="28" t="s">
        <v>223</v>
      </c>
      <c r="E38" s="29">
        <v>728</v>
      </c>
      <c r="F38" s="30">
        <v>1.1862760000000001</v>
      </c>
      <c r="G38" s="31">
        <v>9.6190999999999996E-4</v>
      </c>
      <c r="H38" s="24" t="s">
        <v>146</v>
      </c>
    </row>
    <row r="39" spans="1:8" x14ac:dyDescent="0.2">
      <c r="A39" s="25"/>
      <c r="B39" s="25"/>
      <c r="C39" s="26" t="s">
        <v>145</v>
      </c>
      <c r="D39" s="25"/>
      <c r="E39" s="25" t="s">
        <v>146</v>
      </c>
      <c r="F39" s="32">
        <f>SUM(F7:F38)</f>
        <v>1192.5539134999999</v>
      </c>
      <c r="G39" s="33">
        <f>SUM(G7:G38)</f>
        <v>0.96699785000000016</v>
      </c>
      <c r="H39" s="24" t="s">
        <v>146</v>
      </c>
    </row>
    <row r="40" spans="1:8" x14ac:dyDescent="0.2">
      <c r="A40" s="25"/>
      <c r="B40" s="25"/>
      <c r="C40" s="34"/>
      <c r="D40" s="25"/>
      <c r="E40" s="25"/>
      <c r="F40" s="35"/>
      <c r="G40" s="35"/>
      <c r="H40" s="24" t="s">
        <v>146</v>
      </c>
    </row>
    <row r="41" spans="1:8" x14ac:dyDescent="0.2">
      <c r="A41" s="25"/>
      <c r="B41" s="25"/>
      <c r="C41" s="26" t="s">
        <v>147</v>
      </c>
      <c r="D41" s="25"/>
      <c r="E41" s="25"/>
      <c r="F41" s="25"/>
      <c r="G41" s="25"/>
      <c r="H41" s="24" t="s">
        <v>146</v>
      </c>
    </row>
    <row r="42" spans="1:8" x14ac:dyDescent="0.2">
      <c r="A42" s="25"/>
      <c r="B42" s="25"/>
      <c r="C42" s="26" t="s">
        <v>145</v>
      </c>
      <c r="D42" s="25"/>
      <c r="E42" s="25" t="s">
        <v>146</v>
      </c>
      <c r="F42" s="36" t="s">
        <v>148</v>
      </c>
      <c r="G42" s="33">
        <v>0</v>
      </c>
      <c r="H42" s="24" t="s">
        <v>146</v>
      </c>
    </row>
    <row r="43" spans="1:8" x14ac:dyDescent="0.2">
      <c r="A43" s="25"/>
      <c r="B43" s="25"/>
      <c r="C43" s="34"/>
      <c r="D43" s="25"/>
      <c r="E43" s="25"/>
      <c r="F43" s="35"/>
      <c r="G43" s="35"/>
      <c r="H43" s="24" t="s">
        <v>146</v>
      </c>
    </row>
    <row r="44" spans="1:8" x14ac:dyDescent="0.2">
      <c r="A44" s="25"/>
      <c r="B44" s="25"/>
      <c r="C44" s="26" t="s">
        <v>149</v>
      </c>
      <c r="D44" s="25"/>
      <c r="E44" s="25"/>
      <c r="F44" s="25"/>
      <c r="G44" s="25"/>
      <c r="H44" s="24" t="s">
        <v>146</v>
      </c>
    </row>
    <row r="45" spans="1:8" x14ac:dyDescent="0.2">
      <c r="A45" s="25"/>
      <c r="B45" s="25"/>
      <c r="C45" s="26" t="s">
        <v>145</v>
      </c>
      <c r="D45" s="25"/>
      <c r="E45" s="25" t="s">
        <v>146</v>
      </c>
      <c r="F45" s="36" t="s">
        <v>148</v>
      </c>
      <c r="G45" s="33">
        <v>0</v>
      </c>
      <c r="H45" s="24" t="s">
        <v>146</v>
      </c>
    </row>
    <row r="46" spans="1:8" x14ac:dyDescent="0.2">
      <c r="A46" s="25"/>
      <c r="B46" s="25"/>
      <c r="C46" s="34"/>
      <c r="D46" s="25"/>
      <c r="E46" s="25"/>
      <c r="F46" s="35"/>
      <c r="G46" s="35"/>
      <c r="H46" s="24" t="s">
        <v>146</v>
      </c>
    </row>
    <row r="47" spans="1:8" x14ac:dyDescent="0.2">
      <c r="A47" s="25"/>
      <c r="B47" s="25"/>
      <c r="C47" s="26" t="s">
        <v>150</v>
      </c>
      <c r="D47" s="25"/>
      <c r="E47" s="25"/>
      <c r="F47" s="25"/>
      <c r="G47" s="25"/>
      <c r="H47" s="24" t="s">
        <v>146</v>
      </c>
    </row>
    <row r="48" spans="1:8" x14ac:dyDescent="0.2">
      <c r="A48" s="27">
        <v>1</v>
      </c>
      <c r="B48" s="28" t="s">
        <v>455</v>
      </c>
      <c r="C48" s="37" t="s">
        <v>877</v>
      </c>
      <c r="D48" s="28" t="s">
        <v>19</v>
      </c>
      <c r="E48" s="29">
        <v>327</v>
      </c>
      <c r="F48" s="30">
        <v>3.9215475</v>
      </c>
      <c r="G48" s="31">
        <v>3.1798400000000002E-3</v>
      </c>
      <c r="H48" s="24" t="s">
        <v>146</v>
      </c>
    </row>
    <row r="49" spans="1:8" x14ac:dyDescent="0.2">
      <c r="A49" s="25"/>
      <c r="B49" s="25"/>
      <c r="C49" s="26" t="s">
        <v>145</v>
      </c>
      <c r="D49" s="25"/>
      <c r="E49" s="25" t="s">
        <v>146</v>
      </c>
      <c r="F49" s="32">
        <f>SUM(F48)</f>
        <v>3.9215475</v>
      </c>
      <c r="G49" s="33">
        <f>SUM(G48)</f>
        <v>3.1798400000000002E-3</v>
      </c>
      <c r="H49" s="24" t="s">
        <v>146</v>
      </c>
    </row>
    <row r="50" spans="1:8" x14ac:dyDescent="0.2">
      <c r="A50" s="25"/>
      <c r="B50" s="25"/>
      <c r="C50" s="34"/>
      <c r="D50" s="25"/>
      <c r="E50" s="25"/>
      <c r="F50" s="35"/>
      <c r="G50" s="35"/>
      <c r="H50" s="24" t="s">
        <v>146</v>
      </c>
    </row>
    <row r="51" spans="1:8" x14ac:dyDescent="0.2">
      <c r="A51" s="25"/>
      <c r="B51" s="25"/>
      <c r="C51" s="26" t="s">
        <v>151</v>
      </c>
      <c r="D51" s="25"/>
      <c r="E51" s="25"/>
      <c r="F51" s="35"/>
      <c r="G51" s="35"/>
      <c r="H51" s="24" t="s">
        <v>146</v>
      </c>
    </row>
    <row r="52" spans="1:8" x14ac:dyDescent="0.2">
      <c r="A52" s="25"/>
      <c r="B52" s="25"/>
      <c r="C52" s="26" t="s">
        <v>145</v>
      </c>
      <c r="D52" s="25"/>
      <c r="E52" s="25" t="s">
        <v>146</v>
      </c>
      <c r="F52" s="36" t="s">
        <v>148</v>
      </c>
      <c r="G52" s="33">
        <v>0</v>
      </c>
      <c r="H52" s="24" t="s">
        <v>146</v>
      </c>
    </row>
    <row r="53" spans="1:8" x14ac:dyDescent="0.2">
      <c r="A53" s="25"/>
      <c r="B53" s="25"/>
      <c r="C53" s="34"/>
      <c r="D53" s="25"/>
      <c r="E53" s="25"/>
      <c r="F53" s="35"/>
      <c r="G53" s="35"/>
      <c r="H53" s="24" t="s">
        <v>146</v>
      </c>
    </row>
    <row r="54" spans="1:8" x14ac:dyDescent="0.2">
      <c r="A54" s="25"/>
      <c r="B54" s="25"/>
      <c r="C54" s="26" t="s">
        <v>152</v>
      </c>
      <c r="D54" s="25"/>
      <c r="E54" s="25"/>
      <c r="F54" s="35"/>
      <c r="G54" s="35"/>
      <c r="H54" s="24" t="s">
        <v>146</v>
      </c>
    </row>
    <row r="55" spans="1:8" x14ac:dyDescent="0.2">
      <c r="A55" s="25"/>
      <c r="B55" s="25"/>
      <c r="C55" s="26" t="s">
        <v>145</v>
      </c>
      <c r="D55" s="25"/>
      <c r="E55" s="25" t="s">
        <v>146</v>
      </c>
      <c r="F55" s="36" t="s">
        <v>148</v>
      </c>
      <c r="G55" s="33">
        <v>0</v>
      </c>
      <c r="H55" s="24" t="s">
        <v>146</v>
      </c>
    </row>
    <row r="56" spans="1:8" x14ac:dyDescent="0.2">
      <c r="A56" s="25"/>
      <c r="B56" s="25"/>
      <c r="C56" s="34"/>
      <c r="D56" s="25"/>
      <c r="E56" s="25"/>
      <c r="F56" s="35"/>
      <c r="G56" s="35"/>
      <c r="H56" s="24" t="s">
        <v>146</v>
      </c>
    </row>
    <row r="57" spans="1:8" x14ac:dyDescent="0.2">
      <c r="A57" s="25"/>
      <c r="B57" s="25"/>
      <c r="C57" s="26" t="s">
        <v>153</v>
      </c>
      <c r="D57" s="25"/>
      <c r="E57" s="25"/>
      <c r="F57" s="32">
        <f>F39+F49</f>
        <v>1196.475461</v>
      </c>
      <c r="G57" s="33">
        <f>G49+G39</f>
        <v>0.9701776900000002</v>
      </c>
      <c r="H57" s="24" t="s">
        <v>146</v>
      </c>
    </row>
    <row r="58" spans="1:8" x14ac:dyDescent="0.2">
      <c r="A58" s="25"/>
      <c r="B58" s="25"/>
      <c r="C58" s="34"/>
      <c r="D58" s="25"/>
      <c r="E58" s="25"/>
      <c r="F58" s="35"/>
      <c r="G58" s="35"/>
      <c r="H58" s="24" t="s">
        <v>146</v>
      </c>
    </row>
    <row r="59" spans="1:8" x14ac:dyDescent="0.2">
      <c r="A59" s="25"/>
      <c r="B59" s="25"/>
      <c r="C59" s="26" t="s">
        <v>154</v>
      </c>
      <c r="D59" s="25"/>
      <c r="E59" s="25"/>
      <c r="F59" s="35"/>
      <c r="G59" s="35"/>
      <c r="H59" s="24" t="s">
        <v>146</v>
      </c>
    </row>
    <row r="60" spans="1:8" x14ac:dyDescent="0.2">
      <c r="A60" s="25"/>
      <c r="B60" s="25"/>
      <c r="C60" s="26" t="s">
        <v>10</v>
      </c>
      <c r="D60" s="25"/>
      <c r="E60" s="25"/>
      <c r="F60" s="35"/>
      <c r="G60" s="35"/>
      <c r="H60" s="24" t="s">
        <v>146</v>
      </c>
    </row>
    <row r="61" spans="1:8" x14ac:dyDescent="0.2">
      <c r="A61" s="25"/>
      <c r="B61" s="25"/>
      <c r="C61" s="26" t="s">
        <v>145</v>
      </c>
      <c r="D61" s="25"/>
      <c r="E61" s="25" t="s">
        <v>146</v>
      </c>
      <c r="F61" s="36" t="s">
        <v>148</v>
      </c>
      <c r="G61" s="33">
        <v>0</v>
      </c>
      <c r="H61" s="24" t="s">
        <v>146</v>
      </c>
    </row>
    <row r="62" spans="1:8" x14ac:dyDescent="0.2">
      <c r="A62" s="25"/>
      <c r="B62" s="25"/>
      <c r="C62" s="34"/>
      <c r="D62" s="25"/>
      <c r="E62" s="25"/>
      <c r="F62" s="35"/>
      <c r="G62" s="35"/>
      <c r="H62" s="24" t="s">
        <v>146</v>
      </c>
    </row>
    <row r="63" spans="1:8" x14ac:dyDescent="0.2">
      <c r="A63" s="25"/>
      <c r="B63" s="25"/>
      <c r="C63" s="26" t="s">
        <v>155</v>
      </c>
      <c r="D63" s="25"/>
      <c r="E63" s="25"/>
      <c r="F63" s="25"/>
      <c r="G63" s="25"/>
      <c r="H63" s="24" t="s">
        <v>146</v>
      </c>
    </row>
    <row r="64" spans="1:8" x14ac:dyDescent="0.2">
      <c r="A64" s="25"/>
      <c r="B64" s="25"/>
      <c r="C64" s="26" t="s">
        <v>145</v>
      </c>
      <c r="D64" s="25"/>
      <c r="E64" s="25" t="s">
        <v>146</v>
      </c>
      <c r="F64" s="36" t="s">
        <v>148</v>
      </c>
      <c r="G64" s="33">
        <v>0</v>
      </c>
      <c r="H64" s="24" t="s">
        <v>146</v>
      </c>
    </row>
    <row r="65" spans="1:8" x14ac:dyDescent="0.2">
      <c r="A65" s="25"/>
      <c r="B65" s="25"/>
      <c r="C65" s="34"/>
      <c r="D65" s="25"/>
      <c r="E65" s="25"/>
      <c r="F65" s="35"/>
      <c r="G65" s="35"/>
      <c r="H65" s="24" t="s">
        <v>146</v>
      </c>
    </row>
    <row r="66" spans="1:8" x14ac:dyDescent="0.2">
      <c r="A66" s="25"/>
      <c r="B66" s="25"/>
      <c r="C66" s="26" t="s">
        <v>156</v>
      </c>
      <c r="D66" s="25"/>
      <c r="E66" s="25"/>
      <c r="F66" s="25"/>
      <c r="G66" s="25"/>
      <c r="H66" s="24" t="s">
        <v>146</v>
      </c>
    </row>
    <row r="67" spans="1:8" x14ac:dyDescent="0.2">
      <c r="A67" s="25"/>
      <c r="B67" s="25"/>
      <c r="C67" s="26" t="s">
        <v>145</v>
      </c>
      <c r="D67" s="25"/>
      <c r="E67" s="25" t="s">
        <v>146</v>
      </c>
      <c r="F67" s="36" t="s">
        <v>148</v>
      </c>
      <c r="G67" s="33">
        <v>0</v>
      </c>
      <c r="H67" s="24" t="s">
        <v>146</v>
      </c>
    </row>
    <row r="68" spans="1:8" x14ac:dyDescent="0.2">
      <c r="A68" s="25"/>
      <c r="B68" s="25"/>
      <c r="C68" s="34"/>
      <c r="D68" s="25"/>
      <c r="E68" s="25"/>
      <c r="F68" s="35"/>
      <c r="G68" s="35"/>
      <c r="H68" s="24" t="s">
        <v>146</v>
      </c>
    </row>
    <row r="69" spans="1:8" x14ac:dyDescent="0.2">
      <c r="A69" s="25"/>
      <c r="B69" s="25"/>
      <c r="C69" s="26" t="s">
        <v>157</v>
      </c>
      <c r="D69" s="25"/>
      <c r="E69" s="25"/>
      <c r="F69" s="35"/>
      <c r="G69" s="35"/>
      <c r="H69" s="24" t="s">
        <v>146</v>
      </c>
    </row>
    <row r="70" spans="1:8" x14ac:dyDescent="0.2">
      <c r="A70" s="25"/>
      <c r="B70" s="25"/>
      <c r="C70" s="26" t="s">
        <v>145</v>
      </c>
      <c r="D70" s="25"/>
      <c r="E70" s="25" t="s">
        <v>146</v>
      </c>
      <c r="F70" s="36" t="s">
        <v>148</v>
      </c>
      <c r="G70" s="33">
        <v>0</v>
      </c>
      <c r="H70" s="24" t="s">
        <v>146</v>
      </c>
    </row>
    <row r="71" spans="1:8" x14ac:dyDescent="0.2">
      <c r="A71" s="25"/>
      <c r="B71" s="25"/>
      <c r="C71" s="34"/>
      <c r="D71" s="25"/>
      <c r="E71" s="25"/>
      <c r="F71" s="35"/>
      <c r="G71" s="35"/>
      <c r="H71" s="24" t="s">
        <v>146</v>
      </c>
    </row>
    <row r="72" spans="1:8" x14ac:dyDescent="0.2">
      <c r="A72" s="25"/>
      <c r="B72" s="25"/>
      <c r="C72" s="26" t="s">
        <v>158</v>
      </c>
      <c r="D72" s="25"/>
      <c r="E72" s="25"/>
      <c r="F72" s="32">
        <v>0</v>
      </c>
      <c r="G72" s="33">
        <v>0</v>
      </c>
      <c r="H72" s="24" t="s">
        <v>146</v>
      </c>
    </row>
    <row r="73" spans="1:8" x14ac:dyDescent="0.2">
      <c r="A73" s="25"/>
      <c r="B73" s="25"/>
      <c r="C73" s="34"/>
      <c r="D73" s="25"/>
      <c r="E73" s="25"/>
      <c r="F73" s="35"/>
      <c r="G73" s="35"/>
      <c r="H73" s="24" t="s">
        <v>146</v>
      </c>
    </row>
    <row r="74" spans="1:8" x14ac:dyDescent="0.2">
      <c r="A74" s="25"/>
      <c r="B74" s="25"/>
      <c r="C74" s="26" t="s">
        <v>159</v>
      </c>
      <c r="D74" s="25"/>
      <c r="E74" s="25"/>
      <c r="F74" s="35"/>
      <c r="G74" s="35"/>
      <c r="H74" s="24" t="s">
        <v>146</v>
      </c>
    </row>
    <row r="75" spans="1:8" x14ac:dyDescent="0.2">
      <c r="A75" s="25"/>
      <c r="B75" s="25"/>
      <c r="C75" s="26" t="s">
        <v>160</v>
      </c>
      <c r="D75" s="25"/>
      <c r="E75" s="25"/>
      <c r="F75" s="35"/>
      <c r="G75" s="35"/>
      <c r="H75" s="24" t="s">
        <v>146</v>
      </c>
    </row>
    <row r="76" spans="1:8" x14ac:dyDescent="0.2">
      <c r="A76" s="25"/>
      <c r="B76" s="25"/>
      <c r="C76" s="26" t="s">
        <v>145</v>
      </c>
      <c r="D76" s="25"/>
      <c r="E76" s="25" t="s">
        <v>146</v>
      </c>
      <c r="F76" s="36" t="s">
        <v>148</v>
      </c>
      <c r="G76" s="33">
        <v>0</v>
      </c>
      <c r="H76" s="24" t="s">
        <v>146</v>
      </c>
    </row>
    <row r="77" spans="1:8" x14ac:dyDescent="0.2">
      <c r="A77" s="25"/>
      <c r="B77" s="25"/>
      <c r="C77" s="34"/>
      <c r="D77" s="25"/>
      <c r="E77" s="25"/>
      <c r="F77" s="35"/>
      <c r="G77" s="35"/>
      <c r="H77" s="24" t="s">
        <v>146</v>
      </c>
    </row>
    <row r="78" spans="1:8" x14ac:dyDescent="0.2">
      <c r="A78" s="25"/>
      <c r="B78" s="25"/>
      <c r="C78" s="26" t="s">
        <v>161</v>
      </c>
      <c r="D78" s="25"/>
      <c r="E78" s="25"/>
      <c r="F78" s="35"/>
      <c r="G78" s="35"/>
      <c r="H78" s="24" t="s">
        <v>146</v>
      </c>
    </row>
    <row r="79" spans="1:8" x14ac:dyDescent="0.2">
      <c r="A79" s="25"/>
      <c r="B79" s="25"/>
      <c r="C79" s="26" t="s">
        <v>145</v>
      </c>
      <c r="D79" s="25"/>
      <c r="E79" s="25" t="s">
        <v>146</v>
      </c>
      <c r="F79" s="36" t="s">
        <v>148</v>
      </c>
      <c r="G79" s="33">
        <v>0</v>
      </c>
      <c r="H79" s="24" t="s">
        <v>146</v>
      </c>
    </row>
    <row r="80" spans="1:8" x14ac:dyDescent="0.2">
      <c r="A80" s="25"/>
      <c r="B80" s="25"/>
      <c r="C80" s="34"/>
      <c r="D80" s="25"/>
      <c r="E80" s="25"/>
      <c r="F80" s="35"/>
      <c r="G80" s="35"/>
      <c r="H80" s="24" t="s">
        <v>146</v>
      </c>
    </row>
    <row r="81" spans="1:8" x14ac:dyDescent="0.2">
      <c r="A81" s="25"/>
      <c r="B81" s="25"/>
      <c r="C81" s="26" t="s">
        <v>162</v>
      </c>
      <c r="D81" s="25"/>
      <c r="E81" s="25"/>
      <c r="F81" s="35"/>
      <c r="G81" s="35"/>
      <c r="H81" s="24" t="s">
        <v>146</v>
      </c>
    </row>
    <row r="82" spans="1:8" x14ac:dyDescent="0.2">
      <c r="A82" s="25"/>
      <c r="B82" s="25"/>
      <c r="C82" s="26" t="s">
        <v>145</v>
      </c>
      <c r="D82" s="25"/>
      <c r="E82" s="25" t="s">
        <v>146</v>
      </c>
      <c r="F82" s="36" t="s">
        <v>148</v>
      </c>
      <c r="G82" s="33">
        <v>0</v>
      </c>
      <c r="H82" s="24" t="s">
        <v>146</v>
      </c>
    </row>
    <row r="83" spans="1:8" x14ac:dyDescent="0.2">
      <c r="A83" s="25"/>
      <c r="B83" s="25"/>
      <c r="C83" s="34"/>
      <c r="D83" s="25"/>
      <c r="E83" s="25"/>
      <c r="F83" s="35"/>
      <c r="G83" s="35"/>
      <c r="H83" s="24" t="s">
        <v>146</v>
      </c>
    </row>
    <row r="84" spans="1:8" x14ac:dyDescent="0.2">
      <c r="A84" s="25"/>
      <c r="B84" s="25"/>
      <c r="C84" s="26" t="s">
        <v>163</v>
      </c>
      <c r="D84" s="25"/>
      <c r="E84" s="25"/>
      <c r="F84" s="35"/>
      <c r="G84" s="35"/>
      <c r="H84" s="24" t="s">
        <v>146</v>
      </c>
    </row>
    <row r="85" spans="1:8" x14ac:dyDescent="0.2">
      <c r="A85" s="27">
        <v>1</v>
      </c>
      <c r="B85" s="28"/>
      <c r="C85" s="28" t="s">
        <v>164</v>
      </c>
      <c r="D85" s="28"/>
      <c r="E85" s="38"/>
      <c r="F85" s="30">
        <v>35.105695500000003</v>
      </c>
      <c r="G85" s="31">
        <v>2.8465910000000001E-2</v>
      </c>
      <c r="H85" s="24">
        <v>6.57</v>
      </c>
    </row>
    <row r="86" spans="1:8" x14ac:dyDescent="0.2">
      <c r="A86" s="25"/>
      <c r="B86" s="25"/>
      <c r="C86" s="26" t="s">
        <v>145</v>
      </c>
      <c r="D86" s="25"/>
      <c r="E86" s="25" t="s">
        <v>146</v>
      </c>
      <c r="F86" s="32">
        <v>35.105695500000003</v>
      </c>
      <c r="G86" s="33">
        <v>2.8465910000000001E-2</v>
      </c>
      <c r="H86" s="24" t="s">
        <v>146</v>
      </c>
    </row>
    <row r="87" spans="1:8" x14ac:dyDescent="0.2">
      <c r="A87" s="25"/>
      <c r="B87" s="25"/>
      <c r="C87" s="34"/>
      <c r="D87" s="25"/>
      <c r="E87" s="25"/>
      <c r="F87" s="35"/>
      <c r="G87" s="35"/>
      <c r="H87" s="24" t="s">
        <v>146</v>
      </c>
    </row>
    <row r="88" spans="1:8" x14ac:dyDescent="0.2">
      <c r="A88" s="25"/>
      <c r="B88" s="25"/>
      <c r="C88" s="26" t="s">
        <v>165</v>
      </c>
      <c r="D88" s="25"/>
      <c r="E88" s="25"/>
      <c r="F88" s="32">
        <v>35.105695500000003</v>
      </c>
      <c r="G88" s="33">
        <v>2.8465910000000001E-2</v>
      </c>
      <c r="H88" s="24" t="s">
        <v>146</v>
      </c>
    </row>
    <row r="89" spans="1:8" x14ac:dyDescent="0.2">
      <c r="A89" s="25"/>
      <c r="B89" s="25"/>
      <c r="C89" s="35"/>
      <c r="D89" s="25"/>
      <c r="E89" s="25"/>
      <c r="F89" s="25"/>
      <c r="G89" s="25"/>
      <c r="H89" s="24" t="s">
        <v>146</v>
      </c>
    </row>
    <row r="90" spans="1:8" x14ac:dyDescent="0.2">
      <c r="A90" s="25"/>
      <c r="B90" s="25"/>
      <c r="C90" s="26" t="s">
        <v>166</v>
      </c>
      <c r="D90" s="25"/>
      <c r="E90" s="25"/>
      <c r="F90" s="25"/>
      <c r="G90" s="25"/>
      <c r="H90" s="24" t="s">
        <v>146</v>
      </c>
    </row>
    <row r="91" spans="1:8" x14ac:dyDescent="0.2">
      <c r="A91" s="25"/>
      <c r="B91" s="25"/>
      <c r="C91" s="26" t="s">
        <v>167</v>
      </c>
      <c r="D91" s="25"/>
      <c r="E91" s="25"/>
      <c r="F91" s="25"/>
      <c r="G91" s="25"/>
      <c r="H91" s="24" t="s">
        <v>146</v>
      </c>
    </row>
    <row r="92" spans="1:8" x14ac:dyDescent="0.2">
      <c r="A92" s="25"/>
      <c r="B92" s="25"/>
      <c r="C92" s="26" t="s">
        <v>145</v>
      </c>
      <c r="D92" s="25"/>
      <c r="E92" s="25" t="s">
        <v>146</v>
      </c>
      <c r="F92" s="36" t="s">
        <v>148</v>
      </c>
      <c r="G92" s="33">
        <v>0</v>
      </c>
      <c r="H92" s="24" t="s">
        <v>146</v>
      </c>
    </row>
    <row r="93" spans="1:8" x14ac:dyDescent="0.2">
      <c r="A93" s="25"/>
      <c r="B93" s="25"/>
      <c r="C93" s="34"/>
      <c r="D93" s="25"/>
      <c r="E93" s="25"/>
      <c r="F93" s="35"/>
      <c r="G93" s="35"/>
      <c r="H93" s="24" t="s">
        <v>146</v>
      </c>
    </row>
    <row r="94" spans="1:8" x14ac:dyDescent="0.2">
      <c r="A94" s="25"/>
      <c r="B94" s="25"/>
      <c r="C94" s="26" t="s">
        <v>168</v>
      </c>
      <c r="D94" s="25"/>
      <c r="E94" s="25"/>
      <c r="F94" s="25"/>
      <c r="G94" s="25"/>
      <c r="H94" s="24" t="s">
        <v>146</v>
      </c>
    </row>
    <row r="95" spans="1:8" x14ac:dyDescent="0.2">
      <c r="A95" s="25"/>
      <c r="B95" s="25"/>
      <c r="C95" s="26" t="s">
        <v>169</v>
      </c>
      <c r="D95" s="25"/>
      <c r="E95" s="25"/>
      <c r="F95" s="25"/>
      <c r="G95" s="25"/>
      <c r="H95" s="24" t="s">
        <v>146</v>
      </c>
    </row>
    <row r="96" spans="1:8" x14ac:dyDescent="0.2">
      <c r="A96" s="25"/>
      <c r="B96" s="25"/>
      <c r="C96" s="26" t="s">
        <v>145</v>
      </c>
      <c r="D96" s="25"/>
      <c r="E96" s="25" t="s">
        <v>146</v>
      </c>
      <c r="F96" s="36" t="s">
        <v>148</v>
      </c>
      <c r="G96" s="33">
        <v>0</v>
      </c>
      <c r="H96" s="24" t="s">
        <v>146</v>
      </c>
    </row>
    <row r="97" spans="1:17" x14ac:dyDescent="0.2">
      <c r="A97" s="25"/>
      <c r="B97" s="25"/>
      <c r="C97" s="34"/>
      <c r="D97" s="25"/>
      <c r="E97" s="25"/>
      <c r="F97" s="35"/>
      <c r="G97" s="35"/>
      <c r="H97" s="24" t="s">
        <v>146</v>
      </c>
    </row>
    <row r="98" spans="1:17" x14ac:dyDescent="0.2">
      <c r="A98" s="25"/>
      <c r="B98" s="25"/>
      <c r="C98" s="26" t="s">
        <v>170</v>
      </c>
      <c r="D98" s="25"/>
      <c r="E98" s="25"/>
      <c r="F98" s="35"/>
      <c r="G98" s="35"/>
      <c r="H98" s="24" t="s">
        <v>146</v>
      </c>
    </row>
    <row r="99" spans="1:17" x14ac:dyDescent="0.2">
      <c r="A99" s="25"/>
      <c r="B99" s="25"/>
      <c r="C99" s="26" t="s">
        <v>145</v>
      </c>
      <c r="D99" s="25"/>
      <c r="E99" s="25" t="s">
        <v>146</v>
      </c>
      <c r="F99" s="36" t="s">
        <v>148</v>
      </c>
      <c r="G99" s="33">
        <v>0</v>
      </c>
      <c r="H99" s="24" t="s">
        <v>146</v>
      </c>
    </row>
    <row r="100" spans="1:17" x14ac:dyDescent="0.2">
      <c r="A100" s="25"/>
      <c r="B100" s="25"/>
      <c r="C100" s="34"/>
      <c r="D100" s="25"/>
      <c r="E100" s="25"/>
      <c r="F100" s="35"/>
      <c r="G100" s="35"/>
      <c r="H100" s="24" t="s">
        <v>146</v>
      </c>
    </row>
    <row r="101" spans="1:17" x14ac:dyDescent="0.2">
      <c r="A101" s="38"/>
      <c r="B101" s="28"/>
      <c r="C101" s="28" t="s">
        <v>171</v>
      </c>
      <c r="D101" s="28"/>
      <c r="E101" s="38"/>
      <c r="F101" s="30">
        <v>1.6727819799999999</v>
      </c>
      <c r="G101" s="31">
        <v>1.3564E-3</v>
      </c>
      <c r="H101" s="24" t="s">
        <v>146</v>
      </c>
    </row>
    <row r="102" spans="1:17" x14ac:dyDescent="0.2">
      <c r="A102" s="34"/>
      <c r="B102" s="34"/>
      <c r="C102" s="26" t="s">
        <v>172</v>
      </c>
      <c r="D102" s="35"/>
      <c r="E102" s="35"/>
      <c r="F102" s="32">
        <f>F101+F88+F72+F57</f>
        <v>1233.25393848</v>
      </c>
      <c r="G102" s="39">
        <f>G101+G88+G72+G57</f>
        <v>1.0000000000000002</v>
      </c>
      <c r="H102" s="24" t="s">
        <v>146</v>
      </c>
    </row>
    <row r="103" spans="1:17" x14ac:dyDescent="0.2">
      <c r="A103" s="40"/>
      <c r="B103" s="40"/>
      <c r="C103" s="40"/>
      <c r="D103" s="41"/>
      <c r="E103" s="41"/>
      <c r="F103" s="41"/>
      <c r="G103" s="41"/>
      <c r="H103" s="44"/>
    </row>
    <row r="104" spans="1:17" x14ac:dyDescent="0.2">
      <c r="A104" s="42"/>
      <c r="B104" s="236" t="s">
        <v>858</v>
      </c>
      <c r="C104" s="236"/>
      <c r="D104" s="236"/>
      <c r="E104" s="236"/>
      <c r="F104" s="236"/>
      <c r="G104" s="236"/>
      <c r="H104" s="236"/>
      <c r="J104" s="44"/>
    </row>
    <row r="105" spans="1:17" x14ac:dyDescent="0.2">
      <c r="A105" s="42"/>
      <c r="B105" s="236" t="s">
        <v>859</v>
      </c>
      <c r="C105" s="236"/>
      <c r="D105" s="236"/>
      <c r="E105" s="236"/>
      <c r="F105" s="236"/>
      <c r="G105" s="236"/>
      <c r="H105" s="236"/>
      <c r="J105" s="44"/>
    </row>
    <row r="106" spans="1:17" x14ac:dyDescent="0.2">
      <c r="A106" s="42"/>
      <c r="B106" s="236" t="s">
        <v>860</v>
      </c>
      <c r="C106" s="236"/>
      <c r="D106" s="236"/>
      <c r="E106" s="236"/>
      <c r="F106" s="236"/>
      <c r="G106" s="236"/>
      <c r="H106" s="236"/>
      <c r="J106" s="44"/>
    </row>
    <row r="107" spans="1:17" s="46" customFormat="1" ht="66.75" customHeight="1" x14ac:dyDescent="0.25">
      <c r="A107" s="45"/>
      <c r="B107" s="237" t="s">
        <v>861</v>
      </c>
      <c r="C107" s="237"/>
      <c r="D107" s="237"/>
      <c r="E107" s="237"/>
      <c r="F107" s="237"/>
      <c r="G107" s="237"/>
      <c r="H107" s="237"/>
      <c r="I107"/>
      <c r="J107" s="44"/>
      <c r="K107"/>
      <c r="L107"/>
      <c r="M107"/>
      <c r="N107"/>
      <c r="O107"/>
      <c r="P107"/>
      <c r="Q107"/>
    </row>
    <row r="108" spans="1:17" x14ac:dyDescent="0.2">
      <c r="A108" s="42"/>
      <c r="B108" s="236" t="s">
        <v>862</v>
      </c>
      <c r="C108" s="236"/>
      <c r="D108" s="236"/>
      <c r="E108" s="236"/>
      <c r="F108" s="236"/>
      <c r="G108" s="236"/>
      <c r="H108" s="236"/>
      <c r="J108" s="44"/>
    </row>
    <row r="109" spans="1:17" x14ac:dyDescent="0.2">
      <c r="A109" s="47"/>
      <c r="B109" s="47"/>
      <c r="C109" s="47"/>
      <c r="D109" s="48"/>
      <c r="E109" s="48"/>
      <c r="F109" s="48"/>
      <c r="G109" s="48"/>
    </row>
    <row r="110" spans="1:17" x14ac:dyDescent="0.2">
      <c r="A110" s="47"/>
      <c r="B110" s="233" t="s">
        <v>173</v>
      </c>
      <c r="C110" s="234"/>
      <c r="D110" s="235"/>
      <c r="E110" s="49"/>
      <c r="F110" s="48"/>
      <c r="G110" s="48"/>
    </row>
    <row r="111" spans="1:17" ht="27" customHeight="1" x14ac:dyDescent="0.2">
      <c r="A111" s="47"/>
      <c r="B111" s="231" t="s">
        <v>174</v>
      </c>
      <c r="C111" s="232"/>
      <c r="D111" s="26" t="s">
        <v>175</v>
      </c>
      <c r="E111" s="49"/>
      <c r="F111" s="48"/>
      <c r="G111" s="48"/>
    </row>
    <row r="112" spans="1:17" x14ac:dyDescent="0.2">
      <c r="A112" s="47"/>
      <c r="B112" s="231" t="s">
        <v>863</v>
      </c>
      <c r="C112" s="232"/>
      <c r="D112" s="26" t="s">
        <v>175</v>
      </c>
      <c r="E112" s="49"/>
      <c r="F112" s="48"/>
      <c r="G112" s="48"/>
    </row>
    <row r="113" spans="1:10" x14ac:dyDescent="0.2">
      <c r="A113" s="47"/>
      <c r="B113" s="231" t="s">
        <v>176</v>
      </c>
      <c r="C113" s="232"/>
      <c r="D113" s="35" t="s">
        <v>146</v>
      </c>
      <c r="E113" s="49"/>
      <c r="F113" s="48"/>
      <c r="G113" s="48"/>
    </row>
    <row r="114" spans="1:10" x14ac:dyDescent="0.2">
      <c r="A114" s="53"/>
      <c r="B114" s="54" t="s">
        <v>146</v>
      </c>
      <c r="C114" s="54" t="s">
        <v>864</v>
      </c>
      <c r="D114" s="54" t="s">
        <v>177</v>
      </c>
      <c r="E114" s="53"/>
      <c r="F114" s="53"/>
      <c r="G114" s="53"/>
      <c r="J114" s="44"/>
    </row>
    <row r="115" spans="1:10" x14ac:dyDescent="0.2">
      <c r="A115" s="53"/>
      <c r="B115" s="55" t="s">
        <v>178</v>
      </c>
      <c r="C115" s="56">
        <v>45657</v>
      </c>
      <c r="D115" s="56">
        <v>45688</v>
      </c>
      <c r="E115" s="53"/>
      <c r="F115" s="53"/>
      <c r="G115" s="53"/>
      <c r="J115" s="44"/>
    </row>
    <row r="116" spans="1:10" x14ac:dyDescent="0.2">
      <c r="A116" s="57"/>
      <c r="B116" s="28" t="s">
        <v>179</v>
      </c>
      <c r="C116" s="58">
        <v>35.055700000000002</v>
      </c>
      <c r="D116" s="58">
        <v>34.5274</v>
      </c>
      <c r="E116" s="57"/>
      <c r="F116" s="59"/>
      <c r="G116" s="60"/>
    </row>
    <row r="117" spans="1:10" x14ac:dyDescent="0.2">
      <c r="A117" s="57"/>
      <c r="B117" s="28" t="s">
        <v>1025</v>
      </c>
      <c r="C117" s="58">
        <v>27.083600000000001</v>
      </c>
      <c r="D117" s="58">
        <v>26.6754</v>
      </c>
      <c r="E117" s="57"/>
      <c r="F117" s="59"/>
      <c r="G117" s="60"/>
    </row>
    <row r="118" spans="1:10" x14ac:dyDescent="0.2">
      <c r="A118" s="57"/>
      <c r="B118" s="28" t="s">
        <v>180</v>
      </c>
      <c r="C118" s="58">
        <v>34.041899999999998</v>
      </c>
      <c r="D118" s="58">
        <v>33.523000000000003</v>
      </c>
      <c r="E118" s="57"/>
      <c r="F118" s="59"/>
      <c r="G118" s="60"/>
    </row>
    <row r="119" spans="1:10" x14ac:dyDescent="0.2">
      <c r="A119" s="57"/>
      <c r="B119" s="28" t="s">
        <v>1026</v>
      </c>
      <c r="C119" s="58">
        <v>26.159300000000002</v>
      </c>
      <c r="D119" s="58">
        <v>25.7605</v>
      </c>
      <c r="E119" s="57"/>
      <c r="F119" s="59"/>
      <c r="G119" s="60"/>
    </row>
    <row r="120" spans="1:10" x14ac:dyDescent="0.2">
      <c r="A120" s="57"/>
      <c r="B120" s="57"/>
      <c r="C120" s="57"/>
      <c r="D120" s="57"/>
      <c r="E120" s="57"/>
      <c r="F120" s="57"/>
      <c r="G120" s="57"/>
    </row>
    <row r="121" spans="1:10" x14ac:dyDescent="0.2">
      <c r="A121" s="53"/>
      <c r="B121" s="227" t="s">
        <v>865</v>
      </c>
      <c r="C121" s="228"/>
      <c r="D121" s="50" t="s">
        <v>175</v>
      </c>
      <c r="E121" s="53"/>
      <c r="F121" s="53"/>
      <c r="G121" s="53"/>
    </row>
    <row r="122" spans="1:10" x14ac:dyDescent="0.2">
      <c r="A122" s="53"/>
      <c r="B122" s="74"/>
      <c r="C122" s="74"/>
      <c r="D122" s="74"/>
      <c r="E122" s="53"/>
      <c r="F122" s="53"/>
      <c r="G122" s="53"/>
    </row>
    <row r="123" spans="1:10" x14ac:dyDescent="0.2">
      <c r="A123" s="53"/>
      <c r="B123" s="227" t="s">
        <v>181</v>
      </c>
      <c r="C123" s="228"/>
      <c r="D123" s="50" t="s">
        <v>175</v>
      </c>
      <c r="E123" s="64"/>
      <c r="F123" s="53"/>
      <c r="G123" s="53"/>
    </row>
    <row r="124" spans="1:10" x14ac:dyDescent="0.2">
      <c r="A124" s="53"/>
      <c r="B124" s="227" t="s">
        <v>182</v>
      </c>
      <c r="C124" s="228"/>
      <c r="D124" s="50" t="s">
        <v>175</v>
      </c>
      <c r="E124" s="64"/>
      <c r="F124" s="53"/>
      <c r="G124" s="53"/>
    </row>
    <row r="125" spans="1:10" x14ac:dyDescent="0.2">
      <c r="A125" s="53"/>
      <c r="B125" s="227" t="s">
        <v>183</v>
      </c>
      <c r="C125" s="228"/>
      <c r="D125" s="50" t="s">
        <v>175</v>
      </c>
      <c r="E125" s="64"/>
      <c r="F125" s="53"/>
      <c r="G125" s="53"/>
    </row>
    <row r="126" spans="1:10" x14ac:dyDescent="0.2">
      <c r="A126" s="53"/>
      <c r="B126" s="227" t="s">
        <v>184</v>
      </c>
      <c r="C126" s="228"/>
      <c r="D126" s="65">
        <v>3.9153764599486163E-2</v>
      </c>
      <c r="E126" s="53"/>
      <c r="F126" s="43"/>
      <c r="G126" s="63"/>
    </row>
    <row r="128" spans="1:10" x14ac:dyDescent="0.2">
      <c r="B128" s="229" t="s">
        <v>866</v>
      </c>
      <c r="C128" s="229"/>
    </row>
    <row r="130" spans="2:10" ht="153.75" customHeight="1" x14ac:dyDescent="0.2"/>
    <row r="133" spans="2:10" x14ac:dyDescent="0.2">
      <c r="B133" s="66" t="s">
        <v>867</v>
      </c>
      <c r="C133" s="67"/>
      <c r="D133" s="66"/>
    </row>
    <row r="134" spans="2:10" x14ac:dyDescent="0.2">
      <c r="B134" s="66" t="s">
        <v>876</v>
      </c>
      <c r="D134" s="66"/>
    </row>
    <row r="135" spans="2:10" ht="165" customHeight="1" x14ac:dyDescent="0.2"/>
    <row r="136" spans="2:10" x14ac:dyDescent="0.2">
      <c r="J136" s="21"/>
    </row>
  </sheetData>
  <mergeCells count="18">
    <mergeCell ref="A1:H1"/>
    <mergeCell ref="A2:H2"/>
    <mergeCell ref="A3:H3"/>
    <mergeCell ref="B112:C112"/>
    <mergeCell ref="B113:C113"/>
    <mergeCell ref="B110:D110"/>
    <mergeCell ref="B111:C111"/>
    <mergeCell ref="B104:H104"/>
    <mergeCell ref="B105:H105"/>
    <mergeCell ref="B106:H106"/>
    <mergeCell ref="B107:H107"/>
    <mergeCell ref="B108:H108"/>
    <mergeCell ref="B123:C123"/>
    <mergeCell ref="B124:C124"/>
    <mergeCell ref="B128:C128"/>
    <mergeCell ref="B121:C121"/>
    <mergeCell ref="B125:C125"/>
    <mergeCell ref="B126:C126"/>
  </mergeCells>
  <hyperlinks>
    <hyperlink ref="I1" location="Index!B2" display="Index" xr:uid="{C78B6350-F55A-43B6-A4E4-61AB0E93A0B4}"/>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Index</vt:lpstr>
      <vt:lpstr>CAPEXG</vt:lpstr>
      <vt:lpstr>GLOB</vt:lpstr>
      <vt:lpstr>MIDCAP</vt:lpstr>
      <vt:lpstr>MULTIP</vt:lpstr>
      <vt:lpstr>SLTADV3</vt:lpstr>
      <vt:lpstr>SLTADV4</vt:lpstr>
      <vt:lpstr>SLTAX1</vt:lpstr>
      <vt:lpstr>SLTAX2</vt:lpstr>
      <vt:lpstr>SLTAX3</vt:lpstr>
      <vt:lpstr>SLTAX4</vt:lpstr>
      <vt:lpstr>SLTAX5</vt:lpstr>
      <vt:lpstr>SLTAX6</vt:lpstr>
      <vt:lpstr>SMILE</vt:lpstr>
      <vt:lpstr>SPAHF</vt:lpstr>
      <vt:lpstr>SPARF</vt:lpstr>
      <vt:lpstr>SPBAF</vt:lpstr>
      <vt:lpstr>SPDYF</vt:lpstr>
      <vt:lpstr>SPESF</vt:lpstr>
      <vt:lpstr>SPFOCUS</vt:lpstr>
      <vt:lpstr>SPMUCF</vt:lpstr>
      <vt:lpstr>SPSN100</vt:lpstr>
      <vt:lpstr>SPTAX</vt:lpstr>
      <vt:lpstr>SRURAL</vt:lpstr>
      <vt:lpstr>SSFUND</vt:lpstr>
      <vt:lpstr>STAX</vt:lpstr>
      <vt:lpstr>SUNBCF</vt:lpstr>
      <vt:lpstr>SUNCYF</vt:lpstr>
      <vt:lpstr>SUNFCF</vt:lpstr>
      <vt:lpstr>SUNFOP</vt:lpstr>
      <vt:lpstr>SUNMAF</vt:lpstr>
      <vt:lpstr>Annexure-A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 Subramani P - Sundaram Mutual</dc:creator>
  <cp:lastModifiedBy>Swapna.N - Sundaram Mutual</cp:lastModifiedBy>
  <dcterms:created xsi:type="dcterms:W3CDTF">2025-02-01T14:24:25Z</dcterms:created>
  <dcterms:modified xsi:type="dcterms:W3CDTF">2025-02-07T14:52:47Z</dcterms:modified>
</cp:coreProperties>
</file>